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comments2.xml" ContentType="application/vnd.openxmlformats-officedocument.spreadsheetml.comments+xml"/>
  <Override PartName="/xl/threadedComments/threadedComment2.xml" ContentType="application/vnd.ms-excel.threadedcomments+xml"/>
  <Override PartName="/xl/comments3.xml" ContentType="application/vnd.openxmlformats-officedocument.spreadsheetml.comments+xml"/>
  <Override PartName="/xl/threadedComments/threadedComment3.xml" ContentType="application/vnd.ms-excel.threadedcomments+xml"/>
  <Override PartName="/xl/comments4.xml" ContentType="application/vnd.openxmlformats-officedocument.spreadsheetml.comments+xml"/>
  <Override PartName="/xl/threadedComments/threadedComment4.xml" ContentType="application/vnd.ms-excel.threadedcomments+xml"/>
  <Override PartName="/xl/tables/table1.xml" ContentType="application/vnd.openxmlformats-officedocument.spreadsheetml.table+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726"/>
  <workbookPr date1904="1" codeName="ThisWorkbook"/>
  <mc:AlternateContent xmlns:mc="http://schemas.openxmlformats.org/markup-compatibility/2006">
    <mc:Choice Requires="x15">
      <x15ac:absPath xmlns:x15ac="http://schemas.microsoft.com/office/spreadsheetml/2010/11/ac" url="C:\Users\ajm535\Desktop\"/>
    </mc:Choice>
  </mc:AlternateContent>
  <xr:revisionPtr revIDLastSave="0" documentId="13_ncr:1_{320992EF-B085-4AD2-893E-5EE2CF89C2F5}" xr6:coauthVersionLast="47" xr6:coauthVersionMax="47" xr10:uidLastSave="{00000000-0000-0000-0000-000000000000}"/>
  <bookViews>
    <workbookView xWindow="28680" yWindow="-120" windowWidth="29040" windowHeight="15840" tabRatio="878" activeTab="2" xr2:uid="{00000000-000D-0000-FFFF-FFFF00000000}"/>
  </bookViews>
  <sheets>
    <sheet name="Summary of All Budget Periods" sheetId="16" r:id="rId1"/>
    <sheet name="Cost Share Summary" sheetId="20" r:id="rId2"/>
    <sheet name="BP1" sheetId="2" r:id="rId3"/>
    <sheet name="BP2" sheetId="4" r:id="rId4"/>
    <sheet name="BP3" sheetId="5" r:id="rId5"/>
    <sheet name="BP4" sheetId="13" r:id="rId6"/>
    <sheet name="BP5" sheetId="14" r:id="rId7"/>
    <sheet name="Cumulative Budget" sheetId="6" r:id="rId8"/>
    <sheet name="Effort Summary" sheetId="26" r:id="rId9"/>
    <sheet name="Budget Justification" sheetId="18" r:id="rId10"/>
    <sheet name="Subaward Calculator" sheetId="23" r:id="rId11"/>
    <sheet name="Travel Calculator" sheetId="21" r:id="rId12"/>
    <sheet name="Questionnaire - WIP" sheetId="22" state="hidden" r:id="rId13"/>
    <sheet name="Lists" sheetId="9" r:id="rId14"/>
    <sheet name="Appendix A-Boilerplate Language" sheetId="19" r:id="rId15"/>
    <sheet name="Appendix B-Effort Calculator" sheetId="8" r:id="rId16"/>
    <sheet name="Appendix C-Grants.gov Form Info" sheetId="15" r:id="rId17"/>
    <sheet name="Appendix D-Rate Tables" sheetId="24" r:id="rId18"/>
    <sheet name="Appendix E-Change Log" sheetId="25" r:id="rId19"/>
  </sheets>
  <externalReferences>
    <externalReference r:id="rId20"/>
    <externalReference r:id="rId21"/>
    <externalReference r:id="rId22"/>
  </externalReferences>
  <definedNames>
    <definedName name="_xlnm._FilterDatabase" localSheetId="2" hidden="1">'BP1'!$U$1:$U$95</definedName>
    <definedName name="_xlnm._FilterDatabase" localSheetId="3" hidden="1">'BP2'!$R$1:$R$95</definedName>
    <definedName name="_xlnm._FilterDatabase" localSheetId="4" hidden="1">'BP3'!$R$1:$R$95</definedName>
    <definedName name="_xlnm._FilterDatabase" localSheetId="5" hidden="1">'BP4'!$R$1:$R$95</definedName>
    <definedName name="_xlnm._FilterDatabase" localSheetId="6" hidden="1">'BP5'!$R$1:$R$95</definedName>
    <definedName name="_xlnm._FilterDatabase" localSheetId="9" hidden="1">'Budget Justification'!$U$1:$U$83</definedName>
    <definedName name="_xlnm._FilterDatabase" localSheetId="1" hidden="1">'Cost Share Summary'!$T$1:$T$111</definedName>
    <definedName name="_xlnm._FilterDatabase" localSheetId="7" hidden="1">'Cumulative Budget'!$R$1:$R$90</definedName>
    <definedName name="_xlnm._FilterDatabase" localSheetId="12" hidden="1">'Questionnaire - WIP'!$A$1:$P$41</definedName>
    <definedName name="_xlnm._FilterDatabase" localSheetId="0" hidden="1">'Summary of All Budget Periods'!$I$1:$I$94</definedName>
    <definedName name="EndDateList">Lists!$B$2:$B$812</definedName>
    <definedName name="Federal">'Appendix A-Boilerplate Language'!$M$4:$M$8</definedName>
    <definedName name="FederalDoDContract">Lists!$S:$S</definedName>
    <definedName name="FederalOffCampus">Lists!$N:$N</definedName>
    <definedName name="FederalOnCampus">Lists!$R:$R</definedName>
    <definedName name="NIH" localSheetId="17">'[1]Appendix C-Grants.gov Form Info'!$D:$D</definedName>
    <definedName name="NIH">'Appendix C-Grants.gov Form Info'!$D:$D</definedName>
    <definedName name="NIHSalCap" localSheetId="17">'[1]Appendix C-Grants.gov Form Info'!$D$2</definedName>
    <definedName name="NIHSalCap">'Appendix C-Grants.gov Form Info'!$D$2</definedName>
    <definedName name="NonFederal">'Appendix A-Boilerplate Language'!$N$4:$N$7</definedName>
    <definedName name="NonFederalOffCampus">Lists!$P:$P</definedName>
    <definedName name="NonFederalOnCampus">Lists!$Q:$Q</definedName>
    <definedName name="_xlnm.Print_Area" localSheetId="14">'Appendix A-Boilerplate Language'!$A$1:$I$57</definedName>
    <definedName name="_xlnm.Print_Area" localSheetId="15">'Appendix B-Effort Calculator'!$A$1:$K$48</definedName>
    <definedName name="_xlnm.Print_Area" localSheetId="16">'Appendix C-Grants.gov Form Info'!$A$1:$B$68</definedName>
    <definedName name="_xlnm.Print_Area" localSheetId="17">'Appendix D-Rate Tables'!$A$4:$E$256</definedName>
    <definedName name="_xlnm.Print_Area" localSheetId="2">'BP1'!$A$1:$L$80</definedName>
    <definedName name="_xlnm.Print_Area" localSheetId="3">'BP2'!$A$1:$L$80</definedName>
    <definedName name="_xlnm.Print_Area" localSheetId="4">'BP3'!$A$1:$L$80</definedName>
    <definedName name="_xlnm.Print_Area" localSheetId="5">'BP4'!$A$1:$L$80</definedName>
    <definedName name="_xlnm.Print_Area" localSheetId="6">'BP5'!$A$1:$L$80</definedName>
    <definedName name="_xlnm.Print_Area" localSheetId="9">'Budget Justification'!$A$1:$H$72</definedName>
    <definedName name="_xlnm.Print_Area" localSheetId="1">'Cost Share Summary'!$A$1:$R$111</definedName>
    <definedName name="_xlnm.Print_Area" localSheetId="7">'Cumulative Budget'!$A$1:$L$80</definedName>
    <definedName name="_xlnm.Print_Area" localSheetId="13">Lists!$A$50:$N$217</definedName>
    <definedName name="_xlnm.Print_Area" localSheetId="10">'Subaward Calculator'!$A$4:$AG$46</definedName>
    <definedName name="_xlnm.Print_Area" localSheetId="0">'Summary of All Budget Periods'!$A$1:$G$94</definedName>
    <definedName name="_xlnm.Print_Area" localSheetId="11">'Travel Calculator'!$H$2:$Y$50</definedName>
    <definedName name="StartDateList" localSheetId="17">[1]Lists!$A:$A</definedName>
    <definedName name="StartDateList" localSheetId="1">[2]Lists!$A$2:$A$812</definedName>
    <definedName name="StartDateList" localSheetId="11">[3]Lists!$A$2:$A$812</definedName>
    <definedName name="StartDateList">Lists!$A:$A</definedName>
  </definedNames>
  <calcPr calcId="191029" fullPrecision="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Q92" i="14" l="1"/>
  <c r="Q87" i="14"/>
  <c r="Q92" i="13"/>
  <c r="Q87" i="13"/>
  <c r="Q87" i="5" l="1"/>
  <c r="Q92" i="5"/>
  <c r="Q87" i="4"/>
  <c r="Q92" i="4"/>
  <c r="Q92" i="2"/>
  <c r="N52" i="2"/>
  <c r="K51" i="2"/>
  <c r="C194" i="9"/>
  <c r="C195" i="9"/>
  <c r="C196" i="9"/>
  <c r="C197" i="9"/>
  <c r="C198" i="9"/>
  <c r="C199" i="9"/>
  <c r="C200" i="9"/>
  <c r="C201" i="9"/>
  <c r="C202" i="9"/>
  <c r="C203" i="9"/>
  <c r="C204" i="9"/>
  <c r="C205" i="9"/>
  <c r="C206" i="9"/>
  <c r="Q87" i="2"/>
  <c r="P38" i="2"/>
  <c r="W31" i="26"/>
  <c r="A31" i="26"/>
  <c r="W29" i="26"/>
  <c r="A29" i="26"/>
  <c r="W27" i="26"/>
  <c r="A27" i="26"/>
  <c r="W25" i="26"/>
  <c r="A25" i="26"/>
  <c r="W23" i="26"/>
  <c r="A23" i="26"/>
  <c r="W21" i="26"/>
  <c r="A21" i="26"/>
  <c r="W19" i="26"/>
  <c r="A19" i="26"/>
  <c r="W17" i="26"/>
  <c r="A17" i="26"/>
  <c r="W15" i="26"/>
  <c r="A15" i="26"/>
  <c r="W13" i="26"/>
  <c r="A13" i="26"/>
  <c r="W11" i="26"/>
  <c r="A11" i="26"/>
  <c r="W9" i="26"/>
  <c r="A9" i="26"/>
  <c r="W7" i="26"/>
  <c r="A7" i="26"/>
  <c r="W5" i="26"/>
  <c r="A5" i="26"/>
  <c r="W3" i="26"/>
  <c r="A3" i="26"/>
  <c r="AU42" i="20"/>
  <c r="AU44" i="20"/>
  <c r="Z39" i="26" s="1"/>
  <c r="AU46" i="20"/>
  <c r="Z41" i="26" s="1"/>
  <c r="AU48" i="20"/>
  <c r="Z43" i="26" s="1"/>
  <c r="AU50" i="20"/>
  <c r="AU52" i="20"/>
  <c r="Z47" i="26" s="1"/>
  <c r="AU54" i="20"/>
  <c r="Z49" i="26" s="1"/>
  <c r="AU56" i="20"/>
  <c r="Z51" i="26" s="1"/>
  <c r="AU58" i="20"/>
  <c r="AM58" i="20"/>
  <c r="R53" i="26" s="1"/>
  <c r="AL58" i="20"/>
  <c r="Q53" i="26" s="1"/>
  <c r="AJ58" i="20"/>
  <c r="O53" i="26" s="1"/>
  <c r="AI58" i="20"/>
  <c r="N53" i="26" s="1"/>
  <c r="AG58" i="20"/>
  <c r="L53" i="26" s="1"/>
  <c r="AF58" i="20"/>
  <c r="K53" i="26" s="1"/>
  <c r="AD58" i="20"/>
  <c r="AC58" i="20"/>
  <c r="H53" i="26" s="1"/>
  <c r="AA58" i="20"/>
  <c r="F53" i="26" s="1"/>
  <c r="Z58" i="20"/>
  <c r="E53" i="26" s="1"/>
  <c r="AM56" i="20"/>
  <c r="R51" i="26" s="1"/>
  <c r="AL56" i="20"/>
  <c r="Q51" i="26" s="1"/>
  <c r="AJ56" i="20"/>
  <c r="O51" i="26" s="1"/>
  <c r="AI56" i="20"/>
  <c r="N51" i="26" s="1"/>
  <c r="AG56" i="20"/>
  <c r="L51" i="26" s="1"/>
  <c r="AF56" i="20"/>
  <c r="AD56" i="20"/>
  <c r="I51" i="26" s="1"/>
  <c r="AC56" i="20"/>
  <c r="H51" i="26" s="1"/>
  <c r="AA56" i="20"/>
  <c r="Z56" i="20"/>
  <c r="E51" i="26" s="1"/>
  <c r="AM54" i="20"/>
  <c r="R49" i="26" s="1"/>
  <c r="AL54" i="20"/>
  <c r="Q49" i="26" s="1"/>
  <c r="AJ54" i="20"/>
  <c r="O49" i="26" s="1"/>
  <c r="AI54" i="20"/>
  <c r="N49" i="26" s="1"/>
  <c r="AG54" i="20"/>
  <c r="L49" i="26" s="1"/>
  <c r="AF54" i="20"/>
  <c r="K49" i="26" s="1"/>
  <c r="AD54" i="20"/>
  <c r="I49" i="26" s="1"/>
  <c r="AC54" i="20"/>
  <c r="H49" i="26" s="1"/>
  <c r="AA54" i="20"/>
  <c r="Z54" i="20"/>
  <c r="E49" i="26" s="1"/>
  <c r="AM52" i="20"/>
  <c r="R47" i="26" s="1"/>
  <c r="AL52" i="20"/>
  <c r="Q47" i="26" s="1"/>
  <c r="AJ52" i="20"/>
  <c r="O47" i="26" s="1"/>
  <c r="AI52" i="20"/>
  <c r="N47" i="26" s="1"/>
  <c r="AG52" i="20"/>
  <c r="L47" i="26" s="1"/>
  <c r="AF52" i="20"/>
  <c r="K47" i="26" s="1"/>
  <c r="AD52" i="20"/>
  <c r="I47" i="26" s="1"/>
  <c r="AC52" i="20"/>
  <c r="H47" i="26" s="1"/>
  <c r="AA52" i="20"/>
  <c r="F47" i="26" s="1"/>
  <c r="Z52" i="20"/>
  <c r="E47" i="26" s="1"/>
  <c r="AM50" i="20"/>
  <c r="R45" i="26" s="1"/>
  <c r="AL50" i="20"/>
  <c r="Q45" i="26" s="1"/>
  <c r="AJ50" i="20"/>
  <c r="O45" i="26" s="1"/>
  <c r="AI50" i="20"/>
  <c r="N45" i="26" s="1"/>
  <c r="AG50" i="20"/>
  <c r="L45" i="26" s="1"/>
  <c r="AF50" i="20"/>
  <c r="K45" i="26" s="1"/>
  <c r="AD50" i="20"/>
  <c r="I45" i="26" s="1"/>
  <c r="AC50" i="20"/>
  <c r="H45" i="26" s="1"/>
  <c r="AA50" i="20"/>
  <c r="F45" i="26" s="1"/>
  <c r="Z50" i="20"/>
  <c r="E45" i="26" s="1"/>
  <c r="AM48" i="20"/>
  <c r="R43" i="26" s="1"/>
  <c r="AL48" i="20"/>
  <c r="Q43" i="26" s="1"/>
  <c r="AJ48" i="20"/>
  <c r="O43" i="26" s="1"/>
  <c r="AI48" i="20"/>
  <c r="N43" i="26" s="1"/>
  <c r="AG48" i="20"/>
  <c r="L43" i="26" s="1"/>
  <c r="AF48" i="20"/>
  <c r="AD48" i="20"/>
  <c r="I43" i="26" s="1"/>
  <c r="AC48" i="20"/>
  <c r="H43" i="26" s="1"/>
  <c r="AA48" i="20"/>
  <c r="F43" i="26" s="1"/>
  <c r="Z48" i="20"/>
  <c r="E43" i="26" s="1"/>
  <c r="AM46" i="20"/>
  <c r="R41" i="26" s="1"/>
  <c r="AL46" i="20"/>
  <c r="Q41" i="26" s="1"/>
  <c r="AJ46" i="20"/>
  <c r="O41" i="26" s="1"/>
  <c r="AI46" i="20"/>
  <c r="N41" i="26" s="1"/>
  <c r="AG46" i="20"/>
  <c r="L41" i="26" s="1"/>
  <c r="AF46" i="20"/>
  <c r="K41" i="26" s="1"/>
  <c r="AD46" i="20"/>
  <c r="I41" i="26" s="1"/>
  <c r="AC46" i="20"/>
  <c r="H41" i="26" s="1"/>
  <c r="AA46" i="20"/>
  <c r="F41" i="26" s="1"/>
  <c r="Z46" i="20"/>
  <c r="E41" i="26" s="1"/>
  <c r="AM44" i="20"/>
  <c r="R39" i="26" s="1"/>
  <c r="AL44" i="20"/>
  <c r="Q39" i="26" s="1"/>
  <c r="AJ44" i="20"/>
  <c r="O39" i="26" s="1"/>
  <c r="AI44" i="20"/>
  <c r="N39" i="26" s="1"/>
  <c r="AG44" i="20"/>
  <c r="L39" i="26" s="1"/>
  <c r="AF44" i="20"/>
  <c r="AD44" i="20"/>
  <c r="I39" i="26" s="1"/>
  <c r="AC44" i="20"/>
  <c r="H39" i="26" s="1"/>
  <c r="AA44" i="20"/>
  <c r="F39" i="26" s="1"/>
  <c r="Z44" i="20"/>
  <c r="E39" i="26" s="1"/>
  <c r="AM42" i="20"/>
  <c r="R37" i="26" s="1"/>
  <c r="AL42" i="20"/>
  <c r="Q37" i="26" s="1"/>
  <c r="AJ42" i="20"/>
  <c r="O37" i="26" s="1"/>
  <c r="AI42" i="20"/>
  <c r="N37" i="26" s="1"/>
  <c r="AG42" i="20"/>
  <c r="L37" i="26" s="1"/>
  <c r="AF42" i="20"/>
  <c r="K37" i="26" s="1"/>
  <c r="AD42" i="20"/>
  <c r="I37" i="26" s="1"/>
  <c r="AC42" i="20"/>
  <c r="H37" i="26" s="1"/>
  <c r="AA42" i="20"/>
  <c r="F37" i="26" s="1"/>
  <c r="Z42" i="20"/>
  <c r="E37" i="26" s="1"/>
  <c r="AA9" i="20"/>
  <c r="F4" i="26" s="1"/>
  <c r="Z9" i="20"/>
  <c r="E4" i="26" s="1"/>
  <c r="Y9" i="20"/>
  <c r="D4" i="26" s="1"/>
  <c r="AA11" i="20"/>
  <c r="F6" i="26" s="1"/>
  <c r="Z11" i="20"/>
  <c r="E6" i="26" s="1"/>
  <c r="Y11" i="20"/>
  <c r="D6" i="26" s="1"/>
  <c r="AA13" i="20"/>
  <c r="F8" i="26" s="1"/>
  <c r="Z13" i="20"/>
  <c r="E8" i="26" s="1"/>
  <c r="Y13" i="20"/>
  <c r="D8" i="26" s="1"/>
  <c r="AA15" i="20"/>
  <c r="F10" i="26" s="1"/>
  <c r="Z15" i="20"/>
  <c r="E10" i="26" s="1"/>
  <c r="Y15" i="20"/>
  <c r="D10" i="26" s="1"/>
  <c r="AA17" i="20"/>
  <c r="F12" i="26" s="1"/>
  <c r="Z17" i="20"/>
  <c r="E12" i="26" s="1"/>
  <c r="Y17" i="20"/>
  <c r="D12" i="26" s="1"/>
  <c r="AA19" i="20"/>
  <c r="F14" i="26" s="1"/>
  <c r="Z19" i="20"/>
  <c r="E14" i="26" s="1"/>
  <c r="Y19" i="20"/>
  <c r="D14" i="26" s="1"/>
  <c r="AA21" i="20"/>
  <c r="F16" i="26" s="1"/>
  <c r="Z21" i="20"/>
  <c r="E16" i="26" s="1"/>
  <c r="Y21" i="20"/>
  <c r="D16" i="26" s="1"/>
  <c r="AA23" i="20"/>
  <c r="F18" i="26" s="1"/>
  <c r="Z23" i="20"/>
  <c r="E18" i="26" s="1"/>
  <c r="Y23" i="20"/>
  <c r="D18" i="26" s="1"/>
  <c r="AA25" i="20"/>
  <c r="F20" i="26" s="1"/>
  <c r="Z25" i="20"/>
  <c r="E20" i="26" s="1"/>
  <c r="Y25" i="20"/>
  <c r="D20" i="26" s="1"/>
  <c r="AA27" i="20"/>
  <c r="F22" i="26" s="1"/>
  <c r="Z27" i="20"/>
  <c r="E22" i="26" s="1"/>
  <c r="Y27" i="20"/>
  <c r="D22" i="26" s="1"/>
  <c r="AA29" i="20"/>
  <c r="F24" i="26" s="1"/>
  <c r="Z29" i="20"/>
  <c r="E24" i="26" s="1"/>
  <c r="Y29" i="20"/>
  <c r="D24" i="26" s="1"/>
  <c r="AA31" i="20"/>
  <c r="F26" i="26" s="1"/>
  <c r="Z31" i="20"/>
  <c r="E26" i="26" s="1"/>
  <c r="Y31" i="20"/>
  <c r="D26" i="26" s="1"/>
  <c r="AA33" i="20"/>
  <c r="Z33" i="20"/>
  <c r="E28" i="26" s="1"/>
  <c r="Y33" i="20"/>
  <c r="D28" i="26" s="1"/>
  <c r="AA35" i="20"/>
  <c r="F30" i="26" s="1"/>
  <c r="Z35" i="20"/>
  <c r="E30" i="26" s="1"/>
  <c r="Y35" i="20"/>
  <c r="D30" i="26" s="1"/>
  <c r="AA37" i="20"/>
  <c r="F32" i="26" s="1"/>
  <c r="Z37" i="20"/>
  <c r="E32" i="26" s="1"/>
  <c r="Y37" i="20"/>
  <c r="D32" i="26" s="1"/>
  <c r="AU37" i="20"/>
  <c r="Z32" i="26" s="1"/>
  <c r="AU35" i="20"/>
  <c r="Z30" i="26" s="1"/>
  <c r="AU33" i="20"/>
  <c r="Z28" i="26" s="1"/>
  <c r="AU31" i="20"/>
  <c r="Z26" i="26" s="1"/>
  <c r="AU29" i="20"/>
  <c r="AU27" i="20"/>
  <c r="Z22" i="26" s="1"/>
  <c r="AU25" i="20"/>
  <c r="Z20" i="26" s="1"/>
  <c r="AU23" i="20"/>
  <c r="Z18" i="26" s="1"/>
  <c r="AU21" i="20"/>
  <c r="Z16" i="26" s="1"/>
  <c r="AU19" i="20"/>
  <c r="Z14" i="26" s="1"/>
  <c r="AU17" i="20"/>
  <c r="Z12" i="26" s="1"/>
  <c r="AU15" i="20"/>
  <c r="AU13" i="20"/>
  <c r="Z8" i="26" s="1"/>
  <c r="AU11" i="20"/>
  <c r="Z6" i="26" s="1"/>
  <c r="AU9" i="20"/>
  <c r="AB57" i="16"/>
  <c r="AA57" i="16"/>
  <c r="Y57" i="16"/>
  <c r="X57" i="16"/>
  <c r="V57" i="16"/>
  <c r="U57" i="16"/>
  <c r="S57" i="16"/>
  <c r="R57" i="16"/>
  <c r="P57" i="16"/>
  <c r="O57" i="16"/>
  <c r="AB55" i="16"/>
  <c r="AA55" i="16"/>
  <c r="Y55" i="16"/>
  <c r="X55" i="16"/>
  <c r="V55" i="16"/>
  <c r="U55" i="16"/>
  <c r="S55" i="16"/>
  <c r="R55" i="16"/>
  <c r="P55" i="16"/>
  <c r="O55" i="16"/>
  <c r="AB53" i="16"/>
  <c r="AA53" i="16"/>
  <c r="Y53" i="16"/>
  <c r="X53" i="16"/>
  <c r="V53" i="16"/>
  <c r="U53" i="16"/>
  <c r="S53" i="16"/>
  <c r="R53" i="16"/>
  <c r="P53" i="16"/>
  <c r="O53" i="16"/>
  <c r="AB51" i="16"/>
  <c r="AA51" i="16"/>
  <c r="Y51" i="16"/>
  <c r="X51" i="16"/>
  <c r="V51" i="16"/>
  <c r="U51" i="16"/>
  <c r="S51" i="16"/>
  <c r="R51" i="16"/>
  <c r="P51" i="16"/>
  <c r="O51" i="16"/>
  <c r="AB49" i="16"/>
  <c r="AA49" i="16"/>
  <c r="Y49" i="16"/>
  <c r="X49" i="16"/>
  <c r="V49" i="16"/>
  <c r="U49" i="16"/>
  <c r="S49" i="16"/>
  <c r="R49" i="16"/>
  <c r="P49" i="16"/>
  <c r="O49" i="16"/>
  <c r="AB47" i="16"/>
  <c r="AA47" i="16"/>
  <c r="Y47" i="16"/>
  <c r="X47" i="16"/>
  <c r="V47" i="16"/>
  <c r="U47" i="16"/>
  <c r="S47" i="16"/>
  <c r="R47" i="16"/>
  <c r="P47" i="16"/>
  <c r="O47" i="16"/>
  <c r="AB45" i="16"/>
  <c r="AA45" i="16"/>
  <c r="Y45" i="16"/>
  <c r="X45" i="16"/>
  <c r="V45" i="16"/>
  <c r="U45" i="16"/>
  <c r="S45" i="16"/>
  <c r="R45" i="16"/>
  <c r="P45" i="16"/>
  <c r="O45" i="16"/>
  <c r="AB43" i="16"/>
  <c r="AA43" i="16"/>
  <c r="Y43" i="16"/>
  <c r="X43" i="16"/>
  <c r="V43" i="16"/>
  <c r="U43" i="16"/>
  <c r="S43" i="16"/>
  <c r="R43" i="16"/>
  <c r="P43" i="16"/>
  <c r="O43" i="16"/>
  <c r="AB41" i="16"/>
  <c r="AA41" i="16"/>
  <c r="Y41" i="16"/>
  <c r="X41" i="16"/>
  <c r="V41" i="16"/>
  <c r="U41" i="16"/>
  <c r="S41" i="16"/>
  <c r="R41" i="16"/>
  <c r="P41" i="16"/>
  <c r="O41" i="16"/>
  <c r="P36" i="16"/>
  <c r="O36" i="16"/>
  <c r="N36" i="16"/>
  <c r="P34" i="16"/>
  <c r="O34" i="16"/>
  <c r="N34" i="16"/>
  <c r="P32" i="16"/>
  <c r="O32" i="16"/>
  <c r="N32" i="16"/>
  <c r="P30" i="16"/>
  <c r="O30" i="16"/>
  <c r="N30" i="16"/>
  <c r="P28" i="16"/>
  <c r="O28" i="16"/>
  <c r="N28" i="16"/>
  <c r="P26" i="16"/>
  <c r="O26" i="16"/>
  <c r="N26" i="16"/>
  <c r="P24" i="16"/>
  <c r="O24" i="16"/>
  <c r="N24" i="16"/>
  <c r="P22" i="16"/>
  <c r="O22" i="16"/>
  <c r="N22" i="16"/>
  <c r="P20" i="16"/>
  <c r="O20" i="16"/>
  <c r="N20" i="16"/>
  <c r="P18" i="16"/>
  <c r="O18" i="16"/>
  <c r="N18" i="16"/>
  <c r="P16" i="16"/>
  <c r="O16" i="16"/>
  <c r="N16" i="16"/>
  <c r="P14" i="16"/>
  <c r="O14" i="16"/>
  <c r="N14" i="16"/>
  <c r="P12" i="16"/>
  <c r="O12" i="16"/>
  <c r="N12" i="16"/>
  <c r="P10" i="16"/>
  <c r="O10" i="16"/>
  <c r="N10" i="16"/>
  <c r="N8" i="16"/>
  <c r="P8" i="16"/>
  <c r="O8" i="16"/>
  <c r="C96" i="20"/>
  <c r="C182" i="9"/>
  <c r="C183" i="9"/>
  <c r="C184" i="9"/>
  <c r="C185" i="9"/>
  <c r="C186" i="9"/>
  <c r="C187" i="9"/>
  <c r="C188" i="9"/>
  <c r="C189" i="9"/>
  <c r="C190" i="9"/>
  <c r="C191" i="9"/>
  <c r="C192" i="9"/>
  <c r="C193" i="9"/>
  <c r="AP56" i="20" l="1"/>
  <c r="AP58" i="20"/>
  <c r="Z24" i="26"/>
  <c r="F28" i="26"/>
  <c r="Z10" i="26"/>
  <c r="U37" i="26"/>
  <c r="AO52" i="20"/>
  <c r="U41" i="26"/>
  <c r="Z45" i="26"/>
  <c r="AO44" i="20"/>
  <c r="K39" i="26"/>
  <c r="T39" i="26" s="1"/>
  <c r="AP54" i="20"/>
  <c r="F49" i="26"/>
  <c r="U49" i="26" s="1"/>
  <c r="T41" i="26"/>
  <c r="F51" i="26"/>
  <c r="U51" i="26" s="1"/>
  <c r="Z37" i="26"/>
  <c r="Z4" i="26"/>
  <c r="Z53" i="26"/>
  <c r="T49" i="26"/>
  <c r="AO56" i="20"/>
  <c r="K51" i="26"/>
  <c r="T51" i="26" s="1"/>
  <c r="AO48" i="20"/>
  <c r="K43" i="26"/>
  <c r="T43" i="26" s="1"/>
  <c r="I53" i="26"/>
  <c r="U53" i="26" s="1"/>
  <c r="AO42" i="20"/>
  <c r="AO58" i="20"/>
  <c r="AO54" i="20"/>
  <c r="T45" i="26"/>
  <c r="T37" i="26"/>
  <c r="U39" i="26"/>
  <c r="U47" i="26"/>
  <c r="T53" i="26"/>
  <c r="U45" i="26"/>
  <c r="T47" i="26"/>
  <c r="U43" i="26"/>
  <c r="AO50" i="20"/>
  <c r="AP52" i="20"/>
  <c r="AO46" i="20"/>
  <c r="AP48" i="20"/>
  <c r="AP50" i="20"/>
  <c r="AP42" i="20"/>
  <c r="AP44" i="20"/>
  <c r="AP46" i="20"/>
  <c r="AE57" i="16"/>
  <c r="AD55" i="16"/>
  <c r="AE55" i="16"/>
  <c r="AD53" i="16"/>
  <c r="AD49" i="16"/>
  <c r="AE47" i="16"/>
  <c r="AD43" i="16"/>
  <c r="AD57" i="16"/>
  <c r="AE49" i="16"/>
  <c r="AD51" i="16"/>
  <c r="AE53" i="16"/>
  <c r="AE43" i="16"/>
  <c r="AD47" i="16"/>
  <c r="AE51" i="16"/>
  <c r="AD45" i="16"/>
  <c r="AE45" i="16"/>
  <c r="AE41" i="16"/>
  <c r="AD41" i="16"/>
  <c r="H40" i="2" l="1"/>
  <c r="H39" i="2"/>
  <c r="H38" i="2"/>
  <c r="H37" i="2"/>
  <c r="H36" i="2"/>
  <c r="H35" i="2"/>
  <c r="H34" i="2"/>
  <c r="Y48" i="20" l="1"/>
  <c r="D43" i="26" s="1"/>
  <c r="N47" i="16"/>
  <c r="N49" i="16"/>
  <c r="Y50" i="20"/>
  <c r="D45" i="26" s="1"/>
  <c r="Y46" i="20"/>
  <c r="D41" i="26" s="1"/>
  <c r="N45" i="16"/>
  <c r="Y52" i="20"/>
  <c r="D47" i="26" s="1"/>
  <c r="N51" i="16"/>
  <c r="N55" i="16"/>
  <c r="Y56" i="20"/>
  <c r="D51" i="26" s="1"/>
  <c r="Y54" i="20"/>
  <c r="D49" i="26" s="1"/>
  <c r="N53" i="16"/>
  <c r="Y58" i="20"/>
  <c r="D53" i="26" s="1"/>
  <c r="N57" i="16"/>
  <c r="A5" i="4"/>
  <c r="K5" i="4"/>
  <c r="K5" i="5"/>
  <c r="K5" i="13"/>
  <c r="K5" i="14"/>
  <c r="K38" i="2"/>
  <c r="B53" i="20" s="1"/>
  <c r="N38" i="2"/>
  <c r="C53" i="20" s="1"/>
  <c r="C98" i="20" s="1"/>
  <c r="E9" i="4"/>
  <c r="Q15" i="4" s="1"/>
  <c r="E9" i="5"/>
  <c r="Q15" i="5" s="1"/>
  <c r="E9" i="13"/>
  <c r="Q18" i="13" s="1"/>
  <c r="E9" i="14"/>
  <c r="Q15" i="14" s="1"/>
  <c r="S15" i="2"/>
  <c r="K15" i="2" s="1"/>
  <c r="B8" i="20" s="1"/>
  <c r="S16" i="2"/>
  <c r="K16" i="2" s="1"/>
  <c r="S17" i="2"/>
  <c r="K17" i="2" s="1"/>
  <c r="S18" i="2"/>
  <c r="K18" i="2" s="1"/>
  <c r="S19" i="2"/>
  <c r="K19" i="2" s="1"/>
  <c r="B16" i="20" s="1"/>
  <c r="S20" i="2"/>
  <c r="S21" i="2"/>
  <c r="K21" i="2" s="1"/>
  <c r="B20" i="20" s="1"/>
  <c r="S22" i="2"/>
  <c r="K22" i="2" s="1"/>
  <c r="S23" i="2"/>
  <c r="K23" i="2" s="1"/>
  <c r="Q24" i="14"/>
  <c r="S24" i="2"/>
  <c r="K24" i="2" s="1"/>
  <c r="B26" i="20" s="1"/>
  <c r="Q25" i="14"/>
  <c r="S25" i="2"/>
  <c r="K25" i="2" s="1"/>
  <c r="Q26" i="14"/>
  <c r="S26" i="2"/>
  <c r="S27" i="2"/>
  <c r="K27" i="2" s="1"/>
  <c r="B32" i="20" s="1"/>
  <c r="Q28" i="14"/>
  <c r="S28" i="2"/>
  <c r="S29" i="2"/>
  <c r="N29" i="2" s="1"/>
  <c r="C36" i="20" s="1"/>
  <c r="K10" i="2"/>
  <c r="K8" i="4" s="1"/>
  <c r="K2" i="4"/>
  <c r="K2" i="5"/>
  <c r="K2" i="13"/>
  <c r="K2" i="14"/>
  <c r="N32" i="2"/>
  <c r="O39" i="6"/>
  <c r="B77" i="18"/>
  <c r="B76" i="18"/>
  <c r="B75" i="18"/>
  <c r="B74" i="18"/>
  <c r="B73" i="18"/>
  <c r="B72" i="18"/>
  <c r="B71" i="18"/>
  <c r="B70" i="18"/>
  <c r="A83" i="18"/>
  <c r="A82" i="18"/>
  <c r="A81" i="18"/>
  <c r="A80" i="18"/>
  <c r="U79" i="18"/>
  <c r="U80" i="18"/>
  <c r="U81" i="18"/>
  <c r="U82" i="18"/>
  <c r="U83" i="18"/>
  <c r="A77" i="18"/>
  <c r="A76" i="18"/>
  <c r="A75" i="18"/>
  <c r="A74" i="18"/>
  <c r="A73" i="18"/>
  <c r="A72" i="18"/>
  <c r="A4" i="18"/>
  <c r="U4" i="18" s="1"/>
  <c r="O805" i="9"/>
  <c r="M805" i="9"/>
  <c r="F805" i="9"/>
  <c r="E805" i="9"/>
  <c r="D805" i="9"/>
  <c r="C805" i="9"/>
  <c r="O804" i="9"/>
  <c r="M804" i="9"/>
  <c r="F804" i="9"/>
  <c r="E804" i="9"/>
  <c r="D804" i="9"/>
  <c r="C804" i="9"/>
  <c r="O803" i="9"/>
  <c r="M803" i="9"/>
  <c r="F803" i="9"/>
  <c r="E803" i="9"/>
  <c r="D803" i="9"/>
  <c r="C803" i="9"/>
  <c r="O802" i="9"/>
  <c r="M802" i="9"/>
  <c r="F802" i="9"/>
  <c r="E802" i="9"/>
  <c r="D802" i="9"/>
  <c r="C802" i="9"/>
  <c r="O801" i="9"/>
  <c r="M801" i="9"/>
  <c r="F801" i="9"/>
  <c r="E801" i="9"/>
  <c r="D801" i="9"/>
  <c r="C801" i="9"/>
  <c r="O800" i="9"/>
  <c r="M800" i="9"/>
  <c r="F800" i="9"/>
  <c r="E800" i="9"/>
  <c r="D800" i="9"/>
  <c r="C800" i="9"/>
  <c r="O799" i="9"/>
  <c r="M799" i="9"/>
  <c r="F799" i="9"/>
  <c r="E799" i="9"/>
  <c r="D799" i="9"/>
  <c r="C799" i="9"/>
  <c r="O798" i="9"/>
  <c r="M798" i="9"/>
  <c r="F798" i="9"/>
  <c r="E798" i="9"/>
  <c r="D798" i="9"/>
  <c r="C798" i="9"/>
  <c r="O797" i="9"/>
  <c r="M797" i="9"/>
  <c r="F797" i="9"/>
  <c r="E797" i="9"/>
  <c r="D797" i="9"/>
  <c r="C797" i="9"/>
  <c r="O796" i="9"/>
  <c r="M796" i="9"/>
  <c r="F796" i="9"/>
  <c r="E796" i="9"/>
  <c r="D796" i="9"/>
  <c r="C796" i="9"/>
  <c r="O795" i="9"/>
  <c r="M795" i="9"/>
  <c r="F795" i="9"/>
  <c r="E795" i="9"/>
  <c r="D795" i="9"/>
  <c r="C795" i="9"/>
  <c r="O794" i="9"/>
  <c r="M794" i="9"/>
  <c r="F794" i="9"/>
  <c r="E794" i="9"/>
  <c r="D794" i="9"/>
  <c r="C794" i="9"/>
  <c r="O793" i="9"/>
  <c r="M793" i="9"/>
  <c r="F793" i="9"/>
  <c r="E793" i="9"/>
  <c r="D793" i="9"/>
  <c r="C793" i="9"/>
  <c r="O792" i="9"/>
  <c r="M792" i="9"/>
  <c r="F792" i="9"/>
  <c r="E792" i="9"/>
  <c r="D792" i="9"/>
  <c r="C792" i="9"/>
  <c r="O791" i="9"/>
  <c r="M791" i="9"/>
  <c r="F791" i="9"/>
  <c r="E791" i="9"/>
  <c r="D791" i="9"/>
  <c r="C791" i="9"/>
  <c r="O790" i="9"/>
  <c r="M790" i="9"/>
  <c r="F790" i="9"/>
  <c r="E790" i="9"/>
  <c r="D790" i="9"/>
  <c r="C790" i="9"/>
  <c r="O789" i="9"/>
  <c r="M789" i="9"/>
  <c r="F789" i="9"/>
  <c r="E789" i="9"/>
  <c r="D789" i="9"/>
  <c r="C789" i="9"/>
  <c r="O788" i="9"/>
  <c r="M788" i="9"/>
  <c r="F788" i="9"/>
  <c r="E788" i="9"/>
  <c r="D788" i="9"/>
  <c r="C788" i="9"/>
  <c r="O787" i="9"/>
  <c r="M787" i="9"/>
  <c r="F787" i="9"/>
  <c r="E787" i="9"/>
  <c r="D787" i="9"/>
  <c r="C787" i="9"/>
  <c r="O786" i="9"/>
  <c r="M786" i="9"/>
  <c r="F786" i="9"/>
  <c r="E786" i="9"/>
  <c r="D786" i="9"/>
  <c r="C786" i="9"/>
  <c r="O785" i="9"/>
  <c r="M785" i="9"/>
  <c r="F785" i="9"/>
  <c r="E785" i="9"/>
  <c r="D785" i="9"/>
  <c r="C785" i="9"/>
  <c r="O784" i="9"/>
  <c r="M784" i="9"/>
  <c r="F784" i="9"/>
  <c r="E784" i="9"/>
  <c r="D784" i="9"/>
  <c r="C784" i="9"/>
  <c r="O783" i="9"/>
  <c r="M783" i="9"/>
  <c r="F783" i="9"/>
  <c r="E783" i="9"/>
  <c r="D783" i="9"/>
  <c r="C783" i="9"/>
  <c r="O782" i="9"/>
  <c r="M782" i="9"/>
  <c r="F782" i="9"/>
  <c r="E782" i="9"/>
  <c r="D782" i="9"/>
  <c r="C782" i="9"/>
  <c r="O781" i="9"/>
  <c r="M781" i="9"/>
  <c r="F781" i="9"/>
  <c r="E781" i="9"/>
  <c r="D781" i="9"/>
  <c r="C781" i="9"/>
  <c r="O780" i="9"/>
  <c r="M780" i="9"/>
  <c r="F780" i="9"/>
  <c r="E780" i="9"/>
  <c r="D780" i="9"/>
  <c r="C780" i="9"/>
  <c r="O779" i="9"/>
  <c r="M779" i="9"/>
  <c r="F779" i="9"/>
  <c r="E779" i="9"/>
  <c r="D779" i="9"/>
  <c r="C779" i="9"/>
  <c r="O778" i="9"/>
  <c r="M778" i="9"/>
  <c r="F778" i="9"/>
  <c r="E778" i="9"/>
  <c r="D778" i="9"/>
  <c r="C778" i="9"/>
  <c r="O777" i="9"/>
  <c r="M777" i="9"/>
  <c r="F777" i="9"/>
  <c r="E777" i="9"/>
  <c r="D777" i="9"/>
  <c r="C777" i="9"/>
  <c r="O776" i="9"/>
  <c r="M776" i="9"/>
  <c r="F776" i="9"/>
  <c r="E776" i="9"/>
  <c r="D776" i="9"/>
  <c r="C776" i="9"/>
  <c r="O775" i="9"/>
  <c r="M775" i="9"/>
  <c r="F775" i="9"/>
  <c r="E775" i="9"/>
  <c r="D775" i="9"/>
  <c r="C775" i="9"/>
  <c r="O774" i="9"/>
  <c r="M774" i="9"/>
  <c r="F774" i="9"/>
  <c r="E774" i="9"/>
  <c r="D774" i="9"/>
  <c r="C774" i="9"/>
  <c r="O773" i="9"/>
  <c r="M773" i="9"/>
  <c r="F773" i="9"/>
  <c r="E773" i="9"/>
  <c r="D773" i="9"/>
  <c r="C773" i="9"/>
  <c r="O772" i="9"/>
  <c r="M772" i="9"/>
  <c r="F772" i="9"/>
  <c r="E772" i="9"/>
  <c r="D772" i="9"/>
  <c r="C772" i="9"/>
  <c r="O771" i="9"/>
  <c r="M771" i="9"/>
  <c r="F771" i="9"/>
  <c r="E771" i="9"/>
  <c r="D771" i="9"/>
  <c r="C771" i="9"/>
  <c r="O770" i="9"/>
  <c r="M770" i="9"/>
  <c r="F770" i="9"/>
  <c r="E770" i="9"/>
  <c r="D770" i="9"/>
  <c r="C770" i="9"/>
  <c r="O769" i="9"/>
  <c r="M769" i="9"/>
  <c r="F769" i="9"/>
  <c r="E769" i="9"/>
  <c r="D769" i="9"/>
  <c r="C769" i="9"/>
  <c r="O768" i="9"/>
  <c r="M768" i="9"/>
  <c r="F768" i="9"/>
  <c r="E768" i="9"/>
  <c r="D768" i="9"/>
  <c r="C768" i="9"/>
  <c r="O767" i="9"/>
  <c r="M767" i="9"/>
  <c r="F767" i="9"/>
  <c r="E767" i="9"/>
  <c r="D767" i="9"/>
  <c r="C767" i="9"/>
  <c r="O766" i="9"/>
  <c r="M766" i="9"/>
  <c r="F766" i="9"/>
  <c r="E766" i="9"/>
  <c r="D766" i="9"/>
  <c r="C766" i="9"/>
  <c r="O765" i="9"/>
  <c r="M765" i="9"/>
  <c r="F765" i="9"/>
  <c r="E765" i="9"/>
  <c r="D765" i="9"/>
  <c r="C765" i="9"/>
  <c r="O764" i="9"/>
  <c r="M764" i="9"/>
  <c r="F764" i="9"/>
  <c r="E764" i="9"/>
  <c r="D764" i="9"/>
  <c r="C764" i="9"/>
  <c r="O763" i="9"/>
  <c r="M763" i="9"/>
  <c r="F763" i="9"/>
  <c r="E763" i="9"/>
  <c r="D763" i="9"/>
  <c r="C763" i="9"/>
  <c r="O762" i="9"/>
  <c r="M762" i="9"/>
  <c r="F762" i="9"/>
  <c r="E762" i="9"/>
  <c r="D762" i="9"/>
  <c r="C762" i="9"/>
  <c r="O761" i="9"/>
  <c r="M761" i="9"/>
  <c r="F761" i="9"/>
  <c r="E761" i="9"/>
  <c r="D761" i="9"/>
  <c r="C761" i="9"/>
  <c r="O760" i="9"/>
  <c r="M760" i="9"/>
  <c r="F760" i="9"/>
  <c r="E760" i="9"/>
  <c r="D760" i="9"/>
  <c r="C760" i="9"/>
  <c r="O759" i="9"/>
  <c r="M759" i="9"/>
  <c r="F759" i="9"/>
  <c r="E759" i="9"/>
  <c r="D759" i="9"/>
  <c r="C759" i="9"/>
  <c r="O758" i="9"/>
  <c r="M758" i="9"/>
  <c r="F758" i="9"/>
  <c r="E758" i="9"/>
  <c r="D758" i="9"/>
  <c r="C758" i="9"/>
  <c r="O757" i="9"/>
  <c r="M757" i="9"/>
  <c r="F757" i="9"/>
  <c r="E757" i="9"/>
  <c r="D757" i="9"/>
  <c r="C757" i="9"/>
  <c r="O756" i="9"/>
  <c r="M756" i="9"/>
  <c r="F756" i="9"/>
  <c r="E756" i="9"/>
  <c r="D756" i="9"/>
  <c r="C756" i="9"/>
  <c r="O755" i="9"/>
  <c r="M755" i="9"/>
  <c r="F755" i="9"/>
  <c r="E755" i="9"/>
  <c r="D755" i="9"/>
  <c r="C755" i="9"/>
  <c r="O754" i="9"/>
  <c r="M754" i="9"/>
  <c r="F754" i="9"/>
  <c r="E754" i="9"/>
  <c r="D754" i="9"/>
  <c r="C754" i="9"/>
  <c r="O753" i="9"/>
  <c r="M753" i="9"/>
  <c r="F753" i="9"/>
  <c r="E753" i="9"/>
  <c r="D753" i="9"/>
  <c r="C753" i="9"/>
  <c r="O752" i="9"/>
  <c r="M752" i="9"/>
  <c r="F752" i="9"/>
  <c r="E752" i="9"/>
  <c r="D752" i="9"/>
  <c r="C752" i="9"/>
  <c r="O751" i="9"/>
  <c r="M751" i="9"/>
  <c r="F751" i="9"/>
  <c r="E751" i="9"/>
  <c r="D751" i="9"/>
  <c r="C751" i="9"/>
  <c r="O750" i="9"/>
  <c r="M750" i="9"/>
  <c r="F750" i="9"/>
  <c r="E750" i="9"/>
  <c r="D750" i="9"/>
  <c r="C750" i="9"/>
  <c r="O749" i="9"/>
  <c r="M749" i="9"/>
  <c r="F749" i="9"/>
  <c r="E749" i="9"/>
  <c r="D749" i="9"/>
  <c r="C749" i="9"/>
  <c r="O748" i="9"/>
  <c r="M748" i="9"/>
  <c r="F748" i="9"/>
  <c r="E748" i="9"/>
  <c r="D748" i="9"/>
  <c r="C748" i="9"/>
  <c r="O747" i="9"/>
  <c r="M747" i="9"/>
  <c r="F747" i="9"/>
  <c r="E747" i="9"/>
  <c r="D747" i="9"/>
  <c r="C747" i="9"/>
  <c r="O746" i="9"/>
  <c r="M746" i="9"/>
  <c r="F746" i="9"/>
  <c r="E746" i="9"/>
  <c r="D746" i="9"/>
  <c r="C746" i="9"/>
  <c r="O745" i="9"/>
  <c r="M745" i="9"/>
  <c r="F745" i="9"/>
  <c r="E745" i="9"/>
  <c r="D745" i="9"/>
  <c r="C745" i="9"/>
  <c r="O744" i="9"/>
  <c r="M744" i="9"/>
  <c r="F744" i="9"/>
  <c r="E744" i="9"/>
  <c r="D744" i="9"/>
  <c r="C744" i="9"/>
  <c r="O743" i="9"/>
  <c r="M743" i="9"/>
  <c r="F743" i="9"/>
  <c r="E743" i="9"/>
  <c r="D743" i="9"/>
  <c r="C743" i="9"/>
  <c r="O742" i="9"/>
  <c r="M742" i="9"/>
  <c r="F742" i="9"/>
  <c r="E742" i="9"/>
  <c r="D742" i="9"/>
  <c r="C742" i="9"/>
  <c r="O741" i="9"/>
  <c r="M741" i="9"/>
  <c r="F741" i="9"/>
  <c r="E741" i="9"/>
  <c r="D741" i="9"/>
  <c r="C741" i="9"/>
  <c r="O740" i="9"/>
  <c r="M740" i="9"/>
  <c r="F740" i="9"/>
  <c r="E740" i="9"/>
  <c r="D740" i="9"/>
  <c r="C740" i="9"/>
  <c r="O739" i="9"/>
  <c r="M739" i="9"/>
  <c r="F739" i="9"/>
  <c r="E739" i="9"/>
  <c r="D739" i="9"/>
  <c r="C739" i="9"/>
  <c r="O738" i="9"/>
  <c r="M738" i="9"/>
  <c r="F738" i="9"/>
  <c r="E738" i="9"/>
  <c r="D738" i="9"/>
  <c r="C738" i="9"/>
  <c r="O737" i="9"/>
  <c r="M737" i="9"/>
  <c r="F737" i="9"/>
  <c r="E737" i="9"/>
  <c r="D737" i="9"/>
  <c r="C737" i="9"/>
  <c r="O736" i="9"/>
  <c r="M736" i="9"/>
  <c r="F736" i="9"/>
  <c r="E736" i="9"/>
  <c r="D736" i="9"/>
  <c r="C736" i="9"/>
  <c r="O735" i="9"/>
  <c r="M735" i="9"/>
  <c r="F735" i="9"/>
  <c r="E735" i="9"/>
  <c r="D735" i="9"/>
  <c r="C735" i="9"/>
  <c r="O734" i="9"/>
  <c r="M734" i="9"/>
  <c r="F734" i="9"/>
  <c r="E734" i="9"/>
  <c r="D734" i="9"/>
  <c r="C734" i="9"/>
  <c r="O733" i="9"/>
  <c r="M733" i="9"/>
  <c r="F733" i="9"/>
  <c r="E733" i="9"/>
  <c r="D733" i="9"/>
  <c r="C733" i="9"/>
  <c r="O732" i="9"/>
  <c r="M732" i="9"/>
  <c r="F732" i="9"/>
  <c r="E732" i="9"/>
  <c r="D732" i="9"/>
  <c r="C732" i="9"/>
  <c r="O731" i="9"/>
  <c r="M731" i="9"/>
  <c r="F731" i="9"/>
  <c r="E731" i="9"/>
  <c r="D731" i="9"/>
  <c r="C731" i="9"/>
  <c r="O730" i="9"/>
  <c r="M730" i="9"/>
  <c r="F730" i="9"/>
  <c r="E730" i="9"/>
  <c r="D730" i="9"/>
  <c r="C730" i="9"/>
  <c r="O729" i="9"/>
  <c r="M729" i="9"/>
  <c r="F729" i="9"/>
  <c r="E729" i="9"/>
  <c r="D729" i="9"/>
  <c r="C729" i="9"/>
  <c r="O728" i="9"/>
  <c r="M728" i="9"/>
  <c r="F728" i="9"/>
  <c r="E728" i="9"/>
  <c r="D728" i="9"/>
  <c r="C728" i="9"/>
  <c r="O727" i="9"/>
  <c r="M727" i="9"/>
  <c r="F727" i="9"/>
  <c r="E727" i="9"/>
  <c r="D727" i="9"/>
  <c r="C727" i="9"/>
  <c r="O726" i="9"/>
  <c r="M726" i="9"/>
  <c r="F726" i="9"/>
  <c r="E726" i="9"/>
  <c r="D726" i="9"/>
  <c r="C726" i="9"/>
  <c r="O725" i="9"/>
  <c r="M725" i="9"/>
  <c r="F725" i="9"/>
  <c r="E725" i="9"/>
  <c r="D725" i="9"/>
  <c r="C725" i="9"/>
  <c r="O724" i="9"/>
  <c r="M724" i="9"/>
  <c r="F724" i="9"/>
  <c r="E724" i="9"/>
  <c r="D724" i="9"/>
  <c r="C724" i="9"/>
  <c r="O723" i="9"/>
  <c r="M723" i="9"/>
  <c r="F723" i="9"/>
  <c r="E723" i="9"/>
  <c r="D723" i="9"/>
  <c r="C723" i="9"/>
  <c r="O722" i="9"/>
  <c r="M722" i="9"/>
  <c r="F722" i="9"/>
  <c r="E722" i="9"/>
  <c r="D722" i="9"/>
  <c r="C722" i="9"/>
  <c r="O721" i="9"/>
  <c r="M721" i="9"/>
  <c r="F721" i="9"/>
  <c r="E721" i="9"/>
  <c r="D721" i="9"/>
  <c r="C721" i="9"/>
  <c r="O720" i="9"/>
  <c r="M720" i="9"/>
  <c r="F720" i="9"/>
  <c r="E720" i="9"/>
  <c r="D720" i="9"/>
  <c r="C720" i="9"/>
  <c r="O719" i="9"/>
  <c r="M719" i="9"/>
  <c r="F719" i="9"/>
  <c r="E719" i="9"/>
  <c r="D719" i="9"/>
  <c r="C719" i="9"/>
  <c r="O718" i="9"/>
  <c r="M718" i="9"/>
  <c r="F718" i="9"/>
  <c r="E718" i="9"/>
  <c r="D718" i="9"/>
  <c r="C718" i="9"/>
  <c r="O717" i="9"/>
  <c r="M717" i="9"/>
  <c r="F717" i="9"/>
  <c r="E717" i="9"/>
  <c r="D717" i="9"/>
  <c r="C717" i="9"/>
  <c r="O716" i="9"/>
  <c r="M716" i="9"/>
  <c r="F716" i="9"/>
  <c r="E716" i="9"/>
  <c r="D716" i="9"/>
  <c r="C716" i="9"/>
  <c r="O715" i="9"/>
  <c r="M715" i="9"/>
  <c r="F715" i="9"/>
  <c r="E715" i="9"/>
  <c r="D715" i="9"/>
  <c r="C715" i="9"/>
  <c r="O714" i="9"/>
  <c r="M714" i="9"/>
  <c r="F714" i="9"/>
  <c r="E714" i="9"/>
  <c r="D714" i="9"/>
  <c r="C714" i="9"/>
  <c r="O713" i="9"/>
  <c r="M713" i="9"/>
  <c r="F713" i="9"/>
  <c r="E713" i="9"/>
  <c r="D713" i="9"/>
  <c r="C713" i="9"/>
  <c r="O712" i="9"/>
  <c r="M712" i="9"/>
  <c r="F712" i="9"/>
  <c r="E712" i="9"/>
  <c r="D712" i="9"/>
  <c r="C712" i="9"/>
  <c r="O711" i="9"/>
  <c r="M711" i="9"/>
  <c r="F711" i="9"/>
  <c r="E711" i="9"/>
  <c r="D711" i="9"/>
  <c r="C711" i="9"/>
  <c r="O710" i="9"/>
  <c r="M710" i="9"/>
  <c r="F710" i="9"/>
  <c r="E710" i="9"/>
  <c r="D710" i="9"/>
  <c r="C710" i="9"/>
  <c r="O709" i="9"/>
  <c r="M709" i="9"/>
  <c r="F709" i="9"/>
  <c r="E709" i="9"/>
  <c r="D709" i="9"/>
  <c r="C709" i="9"/>
  <c r="O708" i="9"/>
  <c r="M708" i="9"/>
  <c r="F708" i="9"/>
  <c r="E708" i="9"/>
  <c r="D708" i="9"/>
  <c r="C708" i="9"/>
  <c r="O707" i="9"/>
  <c r="M707" i="9"/>
  <c r="F707" i="9"/>
  <c r="E707" i="9"/>
  <c r="D707" i="9"/>
  <c r="C707" i="9"/>
  <c r="O706" i="9"/>
  <c r="M706" i="9"/>
  <c r="F706" i="9"/>
  <c r="E706" i="9"/>
  <c r="D706" i="9"/>
  <c r="C706" i="9"/>
  <c r="O705" i="9"/>
  <c r="M705" i="9"/>
  <c r="F705" i="9"/>
  <c r="E705" i="9"/>
  <c r="D705" i="9"/>
  <c r="C705" i="9"/>
  <c r="O704" i="9"/>
  <c r="M704" i="9"/>
  <c r="F704" i="9"/>
  <c r="E704" i="9"/>
  <c r="D704" i="9"/>
  <c r="C704" i="9"/>
  <c r="O703" i="9"/>
  <c r="M703" i="9"/>
  <c r="F703" i="9"/>
  <c r="E703" i="9"/>
  <c r="D703" i="9"/>
  <c r="C703" i="9"/>
  <c r="O702" i="9"/>
  <c r="M702" i="9"/>
  <c r="F702" i="9"/>
  <c r="E702" i="9"/>
  <c r="D702" i="9"/>
  <c r="C702" i="9"/>
  <c r="O701" i="9"/>
  <c r="M701" i="9"/>
  <c r="F701" i="9"/>
  <c r="E701" i="9"/>
  <c r="D701" i="9"/>
  <c r="C701" i="9"/>
  <c r="O700" i="9"/>
  <c r="M700" i="9"/>
  <c r="F700" i="9"/>
  <c r="E700" i="9"/>
  <c r="D700" i="9"/>
  <c r="C700" i="9"/>
  <c r="O699" i="9"/>
  <c r="M699" i="9"/>
  <c r="F699" i="9"/>
  <c r="E699" i="9"/>
  <c r="D699" i="9"/>
  <c r="C699" i="9"/>
  <c r="O698" i="9"/>
  <c r="M698" i="9"/>
  <c r="F698" i="9"/>
  <c r="E698" i="9"/>
  <c r="D698" i="9"/>
  <c r="C698" i="9"/>
  <c r="O697" i="9"/>
  <c r="M697" i="9"/>
  <c r="F697" i="9"/>
  <c r="E697" i="9"/>
  <c r="D697" i="9"/>
  <c r="C697" i="9"/>
  <c r="O696" i="9"/>
  <c r="M696" i="9"/>
  <c r="F696" i="9"/>
  <c r="E696" i="9"/>
  <c r="D696" i="9"/>
  <c r="C696" i="9"/>
  <c r="O695" i="9"/>
  <c r="M695" i="9"/>
  <c r="F695" i="9"/>
  <c r="E695" i="9"/>
  <c r="D695" i="9"/>
  <c r="C695" i="9"/>
  <c r="O694" i="9"/>
  <c r="M694" i="9"/>
  <c r="F694" i="9"/>
  <c r="E694" i="9"/>
  <c r="D694" i="9"/>
  <c r="C694" i="9"/>
  <c r="O693" i="9"/>
  <c r="M693" i="9"/>
  <c r="F693" i="9"/>
  <c r="E693" i="9"/>
  <c r="D693" i="9"/>
  <c r="C693" i="9"/>
  <c r="O692" i="9"/>
  <c r="M692" i="9"/>
  <c r="F692" i="9"/>
  <c r="E692" i="9"/>
  <c r="D692" i="9"/>
  <c r="C692" i="9"/>
  <c r="O691" i="9"/>
  <c r="M691" i="9"/>
  <c r="F691" i="9"/>
  <c r="E691" i="9"/>
  <c r="D691" i="9"/>
  <c r="C691" i="9"/>
  <c r="O690" i="9"/>
  <c r="M690" i="9"/>
  <c r="F690" i="9"/>
  <c r="E690" i="9"/>
  <c r="D690" i="9"/>
  <c r="C690" i="9"/>
  <c r="O689" i="9"/>
  <c r="M689" i="9"/>
  <c r="F689" i="9"/>
  <c r="E689" i="9"/>
  <c r="D689" i="9"/>
  <c r="C689" i="9"/>
  <c r="O688" i="9"/>
  <c r="M688" i="9"/>
  <c r="F688" i="9"/>
  <c r="E688" i="9"/>
  <c r="D688" i="9"/>
  <c r="C688" i="9"/>
  <c r="O687" i="9"/>
  <c r="M687" i="9"/>
  <c r="F687" i="9"/>
  <c r="E687" i="9"/>
  <c r="D687" i="9"/>
  <c r="C687" i="9"/>
  <c r="O686" i="9"/>
  <c r="M686" i="9"/>
  <c r="F686" i="9"/>
  <c r="E686" i="9"/>
  <c r="D686" i="9"/>
  <c r="C686" i="9"/>
  <c r="O685" i="9"/>
  <c r="M685" i="9"/>
  <c r="F685" i="9"/>
  <c r="E685" i="9"/>
  <c r="D685" i="9"/>
  <c r="C685" i="9"/>
  <c r="O684" i="9"/>
  <c r="M684" i="9"/>
  <c r="F684" i="9"/>
  <c r="E684" i="9"/>
  <c r="D684" i="9"/>
  <c r="C684" i="9"/>
  <c r="O683" i="9"/>
  <c r="M683" i="9"/>
  <c r="F683" i="9"/>
  <c r="E683" i="9"/>
  <c r="D683" i="9"/>
  <c r="C683" i="9"/>
  <c r="O682" i="9"/>
  <c r="M682" i="9"/>
  <c r="F682" i="9"/>
  <c r="E682" i="9"/>
  <c r="D682" i="9"/>
  <c r="C682" i="9"/>
  <c r="O681" i="9"/>
  <c r="M681" i="9"/>
  <c r="F681" i="9"/>
  <c r="E681" i="9"/>
  <c r="D681" i="9"/>
  <c r="C681" i="9"/>
  <c r="O680" i="9"/>
  <c r="M680" i="9"/>
  <c r="F680" i="9"/>
  <c r="E680" i="9"/>
  <c r="D680" i="9"/>
  <c r="C680" i="9"/>
  <c r="O679" i="9"/>
  <c r="M679" i="9"/>
  <c r="F679" i="9"/>
  <c r="E679" i="9"/>
  <c r="D679" i="9"/>
  <c r="C679" i="9"/>
  <c r="O678" i="9"/>
  <c r="M678" i="9"/>
  <c r="F678" i="9"/>
  <c r="E678" i="9"/>
  <c r="D678" i="9"/>
  <c r="C678" i="9"/>
  <c r="O677" i="9"/>
  <c r="M677" i="9"/>
  <c r="F677" i="9"/>
  <c r="E677" i="9"/>
  <c r="D677" i="9"/>
  <c r="C677" i="9"/>
  <c r="O676" i="9"/>
  <c r="M676" i="9"/>
  <c r="F676" i="9"/>
  <c r="E676" i="9"/>
  <c r="D676" i="9"/>
  <c r="C676" i="9"/>
  <c r="O675" i="9"/>
  <c r="M675" i="9"/>
  <c r="F675" i="9"/>
  <c r="E675" i="9"/>
  <c r="D675" i="9"/>
  <c r="C675" i="9"/>
  <c r="O674" i="9"/>
  <c r="M674" i="9"/>
  <c r="F674" i="9"/>
  <c r="E674" i="9"/>
  <c r="D674" i="9"/>
  <c r="C674" i="9"/>
  <c r="O673" i="9"/>
  <c r="M673" i="9"/>
  <c r="F673" i="9"/>
  <c r="E673" i="9"/>
  <c r="D673" i="9"/>
  <c r="C673" i="9"/>
  <c r="O672" i="9"/>
  <c r="M672" i="9"/>
  <c r="F672" i="9"/>
  <c r="E672" i="9"/>
  <c r="D672" i="9"/>
  <c r="C672" i="9"/>
  <c r="O671" i="9"/>
  <c r="M671" i="9"/>
  <c r="F671" i="9"/>
  <c r="E671" i="9"/>
  <c r="D671" i="9"/>
  <c r="C671" i="9"/>
  <c r="O670" i="9"/>
  <c r="M670" i="9"/>
  <c r="F670" i="9"/>
  <c r="E670" i="9"/>
  <c r="D670" i="9"/>
  <c r="C670" i="9"/>
  <c r="O669" i="9"/>
  <c r="M669" i="9"/>
  <c r="F669" i="9"/>
  <c r="E669" i="9"/>
  <c r="D669" i="9"/>
  <c r="C669" i="9"/>
  <c r="O668" i="9"/>
  <c r="M668" i="9"/>
  <c r="F668" i="9"/>
  <c r="E668" i="9"/>
  <c r="D668" i="9"/>
  <c r="C668" i="9"/>
  <c r="O667" i="9"/>
  <c r="M667" i="9"/>
  <c r="F667" i="9"/>
  <c r="E667" i="9"/>
  <c r="D667" i="9"/>
  <c r="C667" i="9"/>
  <c r="O666" i="9"/>
  <c r="M666" i="9"/>
  <c r="F666" i="9"/>
  <c r="E666" i="9"/>
  <c r="D666" i="9"/>
  <c r="C666" i="9"/>
  <c r="O665" i="9"/>
  <c r="M665" i="9"/>
  <c r="F665" i="9"/>
  <c r="E665" i="9"/>
  <c r="D665" i="9"/>
  <c r="C665" i="9"/>
  <c r="O664" i="9"/>
  <c r="M664" i="9"/>
  <c r="F664" i="9"/>
  <c r="E664" i="9"/>
  <c r="D664" i="9"/>
  <c r="C664" i="9"/>
  <c r="O663" i="9"/>
  <c r="M663" i="9"/>
  <c r="F663" i="9"/>
  <c r="E663" i="9"/>
  <c r="D663" i="9"/>
  <c r="C663" i="9"/>
  <c r="O662" i="9"/>
  <c r="M662" i="9"/>
  <c r="F662" i="9"/>
  <c r="E662" i="9"/>
  <c r="D662" i="9"/>
  <c r="C662" i="9"/>
  <c r="O661" i="9"/>
  <c r="M661" i="9"/>
  <c r="F661" i="9"/>
  <c r="E661" i="9"/>
  <c r="D661" i="9"/>
  <c r="C661" i="9"/>
  <c r="O660" i="9"/>
  <c r="M660" i="9"/>
  <c r="F660" i="9"/>
  <c r="E660" i="9"/>
  <c r="D660" i="9"/>
  <c r="C660" i="9"/>
  <c r="O659" i="9"/>
  <c r="M659" i="9"/>
  <c r="F659" i="9"/>
  <c r="E659" i="9"/>
  <c r="D659" i="9"/>
  <c r="C659" i="9"/>
  <c r="O658" i="9"/>
  <c r="M658" i="9"/>
  <c r="F658" i="9"/>
  <c r="E658" i="9"/>
  <c r="D658" i="9"/>
  <c r="C658" i="9"/>
  <c r="O657" i="9"/>
  <c r="M657" i="9"/>
  <c r="F657" i="9"/>
  <c r="E657" i="9"/>
  <c r="D657" i="9"/>
  <c r="C657" i="9"/>
  <c r="O656" i="9"/>
  <c r="M656" i="9"/>
  <c r="F656" i="9"/>
  <c r="E656" i="9"/>
  <c r="D656" i="9"/>
  <c r="C656" i="9"/>
  <c r="O655" i="9"/>
  <c r="M655" i="9"/>
  <c r="F655" i="9"/>
  <c r="E655" i="9"/>
  <c r="D655" i="9"/>
  <c r="C655" i="9"/>
  <c r="O654" i="9"/>
  <c r="M654" i="9"/>
  <c r="F654" i="9"/>
  <c r="E654" i="9"/>
  <c r="D654" i="9"/>
  <c r="C654" i="9"/>
  <c r="O653" i="9"/>
  <c r="M653" i="9"/>
  <c r="F653" i="9"/>
  <c r="E653" i="9"/>
  <c r="D653" i="9"/>
  <c r="C653" i="9"/>
  <c r="O652" i="9"/>
  <c r="M652" i="9"/>
  <c r="F652" i="9"/>
  <c r="E652" i="9"/>
  <c r="D652" i="9"/>
  <c r="C652" i="9"/>
  <c r="O651" i="9"/>
  <c r="M651" i="9"/>
  <c r="F651" i="9"/>
  <c r="E651" i="9"/>
  <c r="D651" i="9"/>
  <c r="C651" i="9"/>
  <c r="O650" i="9"/>
  <c r="M650" i="9"/>
  <c r="F650" i="9"/>
  <c r="E650" i="9"/>
  <c r="D650" i="9"/>
  <c r="C650" i="9"/>
  <c r="O649" i="9"/>
  <c r="M649" i="9"/>
  <c r="F649" i="9"/>
  <c r="E649" i="9"/>
  <c r="D649" i="9"/>
  <c r="C649" i="9"/>
  <c r="O648" i="9"/>
  <c r="M648" i="9"/>
  <c r="F648" i="9"/>
  <c r="E648" i="9"/>
  <c r="D648" i="9"/>
  <c r="C648" i="9"/>
  <c r="O647" i="9"/>
  <c r="M647" i="9"/>
  <c r="F647" i="9"/>
  <c r="E647" i="9"/>
  <c r="D647" i="9"/>
  <c r="C647" i="9"/>
  <c r="O646" i="9"/>
  <c r="M646" i="9"/>
  <c r="F646" i="9"/>
  <c r="E646" i="9"/>
  <c r="D646" i="9"/>
  <c r="C646" i="9"/>
  <c r="O645" i="9"/>
  <c r="M645" i="9"/>
  <c r="F645" i="9"/>
  <c r="E645" i="9"/>
  <c r="D645" i="9"/>
  <c r="C645" i="9"/>
  <c r="O644" i="9"/>
  <c r="M644" i="9"/>
  <c r="F644" i="9"/>
  <c r="E644" i="9"/>
  <c r="D644" i="9"/>
  <c r="C644" i="9"/>
  <c r="O643" i="9"/>
  <c r="M643" i="9"/>
  <c r="F643" i="9"/>
  <c r="E643" i="9"/>
  <c r="D643" i="9"/>
  <c r="C643" i="9"/>
  <c r="O642" i="9"/>
  <c r="M642" i="9"/>
  <c r="F642" i="9"/>
  <c r="E642" i="9"/>
  <c r="D642" i="9"/>
  <c r="C642" i="9"/>
  <c r="O641" i="9"/>
  <c r="M641" i="9"/>
  <c r="F641" i="9"/>
  <c r="E641" i="9"/>
  <c r="D641" i="9"/>
  <c r="C641" i="9"/>
  <c r="O640" i="9"/>
  <c r="M640" i="9"/>
  <c r="F640" i="9"/>
  <c r="E640" i="9"/>
  <c r="D640" i="9"/>
  <c r="C640" i="9"/>
  <c r="O639" i="9"/>
  <c r="M639" i="9"/>
  <c r="F639" i="9"/>
  <c r="E639" i="9"/>
  <c r="D639" i="9"/>
  <c r="C639" i="9"/>
  <c r="O638" i="9"/>
  <c r="M638" i="9"/>
  <c r="F638" i="9"/>
  <c r="E638" i="9"/>
  <c r="D638" i="9"/>
  <c r="C638" i="9"/>
  <c r="O637" i="9"/>
  <c r="M637" i="9"/>
  <c r="F637" i="9"/>
  <c r="E637" i="9"/>
  <c r="D637" i="9"/>
  <c r="C637" i="9"/>
  <c r="O636" i="9"/>
  <c r="M636" i="9"/>
  <c r="F636" i="9"/>
  <c r="E636" i="9"/>
  <c r="D636" i="9"/>
  <c r="C636" i="9"/>
  <c r="O635" i="9"/>
  <c r="M635" i="9"/>
  <c r="F635" i="9"/>
  <c r="E635" i="9"/>
  <c r="D635" i="9"/>
  <c r="C635" i="9"/>
  <c r="O634" i="9"/>
  <c r="M634" i="9"/>
  <c r="F634" i="9"/>
  <c r="E634" i="9"/>
  <c r="D634" i="9"/>
  <c r="C634" i="9"/>
  <c r="O633" i="9"/>
  <c r="M633" i="9"/>
  <c r="F633" i="9"/>
  <c r="E633" i="9"/>
  <c r="D633" i="9"/>
  <c r="C633" i="9"/>
  <c r="O632" i="9"/>
  <c r="M632" i="9"/>
  <c r="F632" i="9"/>
  <c r="E632" i="9"/>
  <c r="D632" i="9"/>
  <c r="C632" i="9"/>
  <c r="O631" i="9"/>
  <c r="M631" i="9"/>
  <c r="F631" i="9"/>
  <c r="E631" i="9"/>
  <c r="D631" i="9"/>
  <c r="C631" i="9"/>
  <c r="O630" i="9"/>
  <c r="M630" i="9"/>
  <c r="F630" i="9"/>
  <c r="E630" i="9"/>
  <c r="D630" i="9"/>
  <c r="C630" i="9"/>
  <c r="O629" i="9"/>
  <c r="M629" i="9"/>
  <c r="F629" i="9"/>
  <c r="E629" i="9"/>
  <c r="D629" i="9"/>
  <c r="C629" i="9"/>
  <c r="O628" i="9"/>
  <c r="M628" i="9"/>
  <c r="F628" i="9"/>
  <c r="E628" i="9"/>
  <c r="D628" i="9"/>
  <c r="C628" i="9"/>
  <c r="O627" i="9"/>
  <c r="M627" i="9"/>
  <c r="F627" i="9"/>
  <c r="E627" i="9"/>
  <c r="D627" i="9"/>
  <c r="C627" i="9"/>
  <c r="O626" i="9"/>
  <c r="M626" i="9"/>
  <c r="F626" i="9"/>
  <c r="E626" i="9"/>
  <c r="D626" i="9"/>
  <c r="C626" i="9"/>
  <c r="O625" i="9"/>
  <c r="M625" i="9"/>
  <c r="F625" i="9"/>
  <c r="E625" i="9"/>
  <c r="D625" i="9"/>
  <c r="C625" i="9"/>
  <c r="O624" i="9"/>
  <c r="M624" i="9"/>
  <c r="F624" i="9"/>
  <c r="E624" i="9"/>
  <c r="D624" i="9"/>
  <c r="C624" i="9"/>
  <c r="O623" i="9"/>
  <c r="M623" i="9"/>
  <c r="F623" i="9"/>
  <c r="E623" i="9"/>
  <c r="D623" i="9"/>
  <c r="C623" i="9"/>
  <c r="O622" i="9"/>
  <c r="M622" i="9"/>
  <c r="F622" i="9"/>
  <c r="E622" i="9"/>
  <c r="D622" i="9"/>
  <c r="C622" i="9"/>
  <c r="O621" i="9"/>
  <c r="M621" i="9"/>
  <c r="F621" i="9"/>
  <c r="E621" i="9"/>
  <c r="D621" i="9"/>
  <c r="C621" i="9"/>
  <c r="O620" i="9"/>
  <c r="M620" i="9"/>
  <c r="F620" i="9"/>
  <c r="E620" i="9"/>
  <c r="D620" i="9"/>
  <c r="C620" i="9"/>
  <c r="O619" i="9"/>
  <c r="M619" i="9"/>
  <c r="F619" i="9"/>
  <c r="E619" i="9"/>
  <c r="D619" i="9"/>
  <c r="C619" i="9"/>
  <c r="O618" i="9"/>
  <c r="M618" i="9"/>
  <c r="F618" i="9"/>
  <c r="E618" i="9"/>
  <c r="D618" i="9"/>
  <c r="C618" i="9"/>
  <c r="O617" i="9"/>
  <c r="M617" i="9"/>
  <c r="F617" i="9"/>
  <c r="E617" i="9"/>
  <c r="D617" i="9"/>
  <c r="C617" i="9"/>
  <c r="O616" i="9"/>
  <c r="M616" i="9"/>
  <c r="F616" i="9"/>
  <c r="E616" i="9"/>
  <c r="D616" i="9"/>
  <c r="C616" i="9"/>
  <c r="O615" i="9"/>
  <c r="M615" i="9"/>
  <c r="F615" i="9"/>
  <c r="E615" i="9"/>
  <c r="D615" i="9"/>
  <c r="C615" i="9"/>
  <c r="O614" i="9"/>
  <c r="M614" i="9"/>
  <c r="F614" i="9"/>
  <c r="E614" i="9"/>
  <c r="D614" i="9"/>
  <c r="C614" i="9"/>
  <c r="O613" i="9"/>
  <c r="M613" i="9"/>
  <c r="F613" i="9"/>
  <c r="E613" i="9"/>
  <c r="D613" i="9"/>
  <c r="C613" i="9"/>
  <c r="O612" i="9"/>
  <c r="M612" i="9"/>
  <c r="F612" i="9"/>
  <c r="E612" i="9"/>
  <c r="D612" i="9"/>
  <c r="C612" i="9"/>
  <c r="O611" i="9"/>
  <c r="M611" i="9"/>
  <c r="F611" i="9"/>
  <c r="E611" i="9"/>
  <c r="D611" i="9"/>
  <c r="C611" i="9"/>
  <c r="O610" i="9"/>
  <c r="M610" i="9"/>
  <c r="F610" i="9"/>
  <c r="E610" i="9"/>
  <c r="D610" i="9"/>
  <c r="C610" i="9"/>
  <c r="O609" i="9"/>
  <c r="M609" i="9"/>
  <c r="F609" i="9"/>
  <c r="E609" i="9"/>
  <c r="D609" i="9"/>
  <c r="C609" i="9"/>
  <c r="O608" i="9"/>
  <c r="M608" i="9"/>
  <c r="F608" i="9"/>
  <c r="E608" i="9"/>
  <c r="D608" i="9"/>
  <c r="C608" i="9"/>
  <c r="O607" i="9"/>
  <c r="M607" i="9"/>
  <c r="F607" i="9"/>
  <c r="E607" i="9"/>
  <c r="D607" i="9"/>
  <c r="C607" i="9"/>
  <c r="O606" i="9"/>
  <c r="M606" i="9"/>
  <c r="F606" i="9"/>
  <c r="E606" i="9"/>
  <c r="D606" i="9"/>
  <c r="C606" i="9"/>
  <c r="O605" i="9"/>
  <c r="M605" i="9"/>
  <c r="F605" i="9"/>
  <c r="E605" i="9"/>
  <c r="D605" i="9"/>
  <c r="C605" i="9"/>
  <c r="O604" i="9"/>
  <c r="M604" i="9"/>
  <c r="F604" i="9"/>
  <c r="E604" i="9"/>
  <c r="D604" i="9"/>
  <c r="C604" i="9"/>
  <c r="O603" i="9"/>
  <c r="M603" i="9"/>
  <c r="F603" i="9"/>
  <c r="E603" i="9"/>
  <c r="D603" i="9"/>
  <c r="C603" i="9"/>
  <c r="O602" i="9"/>
  <c r="M602" i="9"/>
  <c r="F602" i="9"/>
  <c r="E602" i="9"/>
  <c r="D602" i="9"/>
  <c r="C602" i="9"/>
  <c r="O601" i="9"/>
  <c r="M601" i="9"/>
  <c r="F601" i="9"/>
  <c r="E601" i="9"/>
  <c r="D601" i="9"/>
  <c r="C601" i="9"/>
  <c r="O600" i="9"/>
  <c r="M600" i="9"/>
  <c r="F600" i="9"/>
  <c r="E600" i="9"/>
  <c r="D600" i="9"/>
  <c r="C600" i="9"/>
  <c r="O599" i="9"/>
  <c r="M599" i="9"/>
  <c r="F599" i="9"/>
  <c r="E599" i="9"/>
  <c r="D599" i="9"/>
  <c r="C599" i="9"/>
  <c r="O598" i="9"/>
  <c r="M598" i="9"/>
  <c r="F598" i="9"/>
  <c r="E598" i="9"/>
  <c r="D598" i="9"/>
  <c r="C598" i="9"/>
  <c r="O597" i="9"/>
  <c r="M597" i="9"/>
  <c r="F597" i="9"/>
  <c r="E597" i="9"/>
  <c r="D597" i="9"/>
  <c r="C597" i="9"/>
  <c r="O596" i="9"/>
  <c r="M596" i="9"/>
  <c r="F596" i="9"/>
  <c r="E596" i="9"/>
  <c r="D596" i="9"/>
  <c r="C596" i="9"/>
  <c r="O595" i="9"/>
  <c r="M595" i="9"/>
  <c r="F595" i="9"/>
  <c r="E595" i="9"/>
  <c r="D595" i="9"/>
  <c r="C595" i="9"/>
  <c r="O594" i="9"/>
  <c r="M594" i="9"/>
  <c r="F594" i="9"/>
  <c r="E594" i="9"/>
  <c r="D594" i="9"/>
  <c r="C594" i="9"/>
  <c r="O593" i="9"/>
  <c r="M593" i="9"/>
  <c r="F593" i="9"/>
  <c r="E593" i="9"/>
  <c r="D593" i="9"/>
  <c r="C593" i="9"/>
  <c r="O592" i="9"/>
  <c r="M592" i="9"/>
  <c r="F592" i="9"/>
  <c r="E592" i="9"/>
  <c r="D592" i="9"/>
  <c r="C592" i="9"/>
  <c r="O591" i="9"/>
  <c r="M591" i="9"/>
  <c r="F591" i="9"/>
  <c r="E591" i="9"/>
  <c r="D591" i="9"/>
  <c r="C591" i="9"/>
  <c r="O590" i="9"/>
  <c r="M590" i="9"/>
  <c r="F590" i="9"/>
  <c r="E590" i="9"/>
  <c r="D590" i="9"/>
  <c r="C590" i="9"/>
  <c r="O589" i="9"/>
  <c r="M589" i="9"/>
  <c r="F589" i="9"/>
  <c r="E589" i="9"/>
  <c r="D589" i="9"/>
  <c r="C589" i="9"/>
  <c r="O588" i="9"/>
  <c r="M588" i="9"/>
  <c r="F588" i="9"/>
  <c r="E588" i="9"/>
  <c r="D588" i="9"/>
  <c r="C588" i="9"/>
  <c r="O587" i="9"/>
  <c r="M587" i="9"/>
  <c r="F587" i="9"/>
  <c r="E587" i="9"/>
  <c r="D587" i="9"/>
  <c r="C587" i="9"/>
  <c r="O586" i="9"/>
  <c r="M586" i="9"/>
  <c r="F586" i="9"/>
  <c r="E586" i="9"/>
  <c r="D586" i="9"/>
  <c r="C586" i="9"/>
  <c r="O585" i="9"/>
  <c r="M585" i="9"/>
  <c r="F585" i="9"/>
  <c r="E585" i="9"/>
  <c r="D585" i="9"/>
  <c r="C585" i="9"/>
  <c r="O584" i="9"/>
  <c r="M584" i="9"/>
  <c r="F584" i="9"/>
  <c r="E584" i="9"/>
  <c r="D584" i="9"/>
  <c r="C584" i="9"/>
  <c r="O583" i="9"/>
  <c r="M583" i="9"/>
  <c r="F583" i="9"/>
  <c r="E583" i="9"/>
  <c r="D583" i="9"/>
  <c r="C583" i="9"/>
  <c r="O582" i="9"/>
  <c r="M582" i="9"/>
  <c r="F582" i="9"/>
  <c r="E582" i="9"/>
  <c r="D582" i="9"/>
  <c r="C582" i="9"/>
  <c r="O581" i="9"/>
  <c r="M581" i="9"/>
  <c r="F581" i="9"/>
  <c r="E581" i="9"/>
  <c r="D581" i="9"/>
  <c r="C581" i="9"/>
  <c r="O580" i="9"/>
  <c r="M580" i="9"/>
  <c r="F580" i="9"/>
  <c r="E580" i="9"/>
  <c r="D580" i="9"/>
  <c r="C580" i="9"/>
  <c r="O579" i="9"/>
  <c r="M579" i="9"/>
  <c r="F579" i="9"/>
  <c r="E579" i="9"/>
  <c r="D579" i="9"/>
  <c r="C579" i="9"/>
  <c r="O578" i="9"/>
  <c r="M578" i="9"/>
  <c r="F578" i="9"/>
  <c r="E578" i="9"/>
  <c r="D578" i="9"/>
  <c r="C578" i="9"/>
  <c r="O577" i="9"/>
  <c r="M577" i="9"/>
  <c r="F577" i="9"/>
  <c r="E577" i="9"/>
  <c r="D577" i="9"/>
  <c r="C577" i="9"/>
  <c r="O576" i="9"/>
  <c r="M576" i="9"/>
  <c r="F576" i="9"/>
  <c r="E576" i="9"/>
  <c r="D576" i="9"/>
  <c r="C576" i="9"/>
  <c r="O575" i="9"/>
  <c r="M575" i="9"/>
  <c r="F575" i="9"/>
  <c r="E575" i="9"/>
  <c r="D575" i="9"/>
  <c r="C575" i="9"/>
  <c r="O574" i="9"/>
  <c r="M574" i="9"/>
  <c r="F574" i="9"/>
  <c r="E574" i="9"/>
  <c r="D574" i="9"/>
  <c r="C574" i="9"/>
  <c r="O573" i="9"/>
  <c r="M573" i="9"/>
  <c r="F573" i="9"/>
  <c r="E573" i="9"/>
  <c r="D573" i="9"/>
  <c r="C573" i="9"/>
  <c r="O572" i="9"/>
  <c r="M572" i="9"/>
  <c r="F572" i="9"/>
  <c r="E572" i="9"/>
  <c r="D572" i="9"/>
  <c r="C572" i="9"/>
  <c r="O571" i="9"/>
  <c r="M571" i="9"/>
  <c r="F571" i="9"/>
  <c r="E571" i="9"/>
  <c r="D571" i="9"/>
  <c r="C571" i="9"/>
  <c r="O570" i="9"/>
  <c r="M570" i="9"/>
  <c r="F570" i="9"/>
  <c r="E570" i="9"/>
  <c r="D570" i="9"/>
  <c r="C570" i="9"/>
  <c r="O569" i="9"/>
  <c r="M569" i="9"/>
  <c r="F569" i="9"/>
  <c r="E569" i="9"/>
  <c r="D569" i="9"/>
  <c r="C569" i="9"/>
  <c r="O568" i="9"/>
  <c r="M568" i="9"/>
  <c r="F568" i="9"/>
  <c r="E568" i="9"/>
  <c r="D568" i="9"/>
  <c r="C568" i="9"/>
  <c r="O567" i="9"/>
  <c r="M567" i="9"/>
  <c r="F567" i="9"/>
  <c r="E567" i="9"/>
  <c r="D567" i="9"/>
  <c r="C567" i="9"/>
  <c r="O566" i="9"/>
  <c r="M566" i="9"/>
  <c r="F566" i="9"/>
  <c r="E566" i="9"/>
  <c r="D566" i="9"/>
  <c r="C566" i="9"/>
  <c r="O565" i="9"/>
  <c r="M565" i="9"/>
  <c r="F565" i="9"/>
  <c r="E565" i="9"/>
  <c r="D565" i="9"/>
  <c r="C565" i="9"/>
  <c r="O564" i="9"/>
  <c r="M564" i="9"/>
  <c r="F564" i="9"/>
  <c r="E564" i="9"/>
  <c r="D564" i="9"/>
  <c r="C564" i="9"/>
  <c r="O563" i="9"/>
  <c r="M563" i="9"/>
  <c r="F563" i="9"/>
  <c r="E563" i="9"/>
  <c r="D563" i="9"/>
  <c r="C563" i="9"/>
  <c r="O562" i="9"/>
  <c r="M562" i="9"/>
  <c r="F562" i="9"/>
  <c r="E562" i="9"/>
  <c r="D562" i="9"/>
  <c r="C562" i="9"/>
  <c r="O561" i="9"/>
  <c r="M561" i="9"/>
  <c r="F561" i="9"/>
  <c r="E561" i="9"/>
  <c r="D561" i="9"/>
  <c r="C561" i="9"/>
  <c r="O560" i="9"/>
  <c r="M560" i="9"/>
  <c r="F560" i="9"/>
  <c r="E560" i="9"/>
  <c r="D560" i="9"/>
  <c r="C560" i="9"/>
  <c r="O559" i="9"/>
  <c r="M559" i="9"/>
  <c r="F559" i="9"/>
  <c r="E559" i="9"/>
  <c r="D559" i="9"/>
  <c r="C559" i="9"/>
  <c r="O558" i="9"/>
  <c r="M558" i="9"/>
  <c r="F558" i="9"/>
  <c r="E558" i="9"/>
  <c r="D558" i="9"/>
  <c r="C558" i="9"/>
  <c r="O557" i="9"/>
  <c r="M557" i="9"/>
  <c r="F557" i="9"/>
  <c r="E557" i="9"/>
  <c r="D557" i="9"/>
  <c r="C557" i="9"/>
  <c r="O556" i="9"/>
  <c r="M556" i="9"/>
  <c r="F556" i="9"/>
  <c r="E556" i="9"/>
  <c r="D556" i="9"/>
  <c r="C556" i="9"/>
  <c r="O555" i="9"/>
  <c r="M555" i="9"/>
  <c r="F555" i="9"/>
  <c r="E555" i="9"/>
  <c r="D555" i="9"/>
  <c r="C555" i="9"/>
  <c r="O554" i="9"/>
  <c r="M554" i="9"/>
  <c r="F554" i="9"/>
  <c r="E554" i="9"/>
  <c r="D554" i="9"/>
  <c r="C554" i="9"/>
  <c r="O553" i="9"/>
  <c r="M553" i="9"/>
  <c r="F553" i="9"/>
  <c r="E553" i="9"/>
  <c r="D553" i="9"/>
  <c r="C553" i="9"/>
  <c r="O552" i="9"/>
  <c r="M552" i="9"/>
  <c r="F552" i="9"/>
  <c r="E552" i="9"/>
  <c r="D552" i="9"/>
  <c r="C552" i="9"/>
  <c r="O551" i="9"/>
  <c r="M551" i="9"/>
  <c r="F551" i="9"/>
  <c r="E551" i="9"/>
  <c r="D551" i="9"/>
  <c r="C551" i="9"/>
  <c r="O550" i="9"/>
  <c r="M550" i="9"/>
  <c r="F550" i="9"/>
  <c r="E550" i="9"/>
  <c r="D550" i="9"/>
  <c r="C550" i="9"/>
  <c r="O549" i="9"/>
  <c r="M549" i="9"/>
  <c r="F549" i="9"/>
  <c r="E549" i="9"/>
  <c r="D549" i="9"/>
  <c r="C549" i="9"/>
  <c r="O548" i="9"/>
  <c r="M548" i="9"/>
  <c r="F548" i="9"/>
  <c r="E548" i="9"/>
  <c r="D548" i="9"/>
  <c r="C548" i="9"/>
  <c r="O547" i="9"/>
  <c r="M547" i="9"/>
  <c r="F547" i="9"/>
  <c r="E547" i="9"/>
  <c r="D547" i="9"/>
  <c r="C547" i="9"/>
  <c r="O546" i="9"/>
  <c r="M546" i="9"/>
  <c r="F546" i="9"/>
  <c r="E546" i="9"/>
  <c r="D546" i="9"/>
  <c r="C546" i="9"/>
  <c r="O545" i="9"/>
  <c r="M545" i="9"/>
  <c r="F545" i="9"/>
  <c r="E545" i="9"/>
  <c r="D545" i="9"/>
  <c r="C545" i="9"/>
  <c r="O544" i="9"/>
  <c r="M544" i="9"/>
  <c r="F544" i="9"/>
  <c r="E544" i="9"/>
  <c r="D544" i="9"/>
  <c r="C544" i="9"/>
  <c r="O543" i="9"/>
  <c r="M543" i="9"/>
  <c r="F543" i="9"/>
  <c r="E543" i="9"/>
  <c r="D543" i="9"/>
  <c r="C543" i="9"/>
  <c r="O542" i="9"/>
  <c r="M542" i="9"/>
  <c r="F542" i="9"/>
  <c r="E542" i="9"/>
  <c r="D542" i="9"/>
  <c r="C542" i="9"/>
  <c r="O541" i="9"/>
  <c r="M541" i="9"/>
  <c r="F541" i="9"/>
  <c r="E541" i="9"/>
  <c r="D541" i="9"/>
  <c r="C541" i="9"/>
  <c r="O540" i="9"/>
  <c r="M540" i="9"/>
  <c r="F540" i="9"/>
  <c r="E540" i="9"/>
  <c r="D540" i="9"/>
  <c r="C540" i="9"/>
  <c r="O539" i="9"/>
  <c r="M539" i="9"/>
  <c r="F539" i="9"/>
  <c r="E539" i="9"/>
  <c r="D539" i="9"/>
  <c r="C539" i="9"/>
  <c r="O538" i="9"/>
  <c r="M538" i="9"/>
  <c r="F538" i="9"/>
  <c r="E538" i="9"/>
  <c r="D538" i="9"/>
  <c r="C538" i="9"/>
  <c r="O537" i="9"/>
  <c r="M537" i="9"/>
  <c r="F537" i="9"/>
  <c r="E537" i="9"/>
  <c r="D537" i="9"/>
  <c r="C537" i="9"/>
  <c r="O536" i="9"/>
  <c r="M536" i="9"/>
  <c r="F536" i="9"/>
  <c r="E536" i="9"/>
  <c r="D536" i="9"/>
  <c r="C536" i="9"/>
  <c r="O535" i="9"/>
  <c r="M535" i="9"/>
  <c r="F535" i="9"/>
  <c r="E535" i="9"/>
  <c r="D535" i="9"/>
  <c r="C535" i="9"/>
  <c r="O534" i="9"/>
  <c r="M534" i="9"/>
  <c r="F534" i="9"/>
  <c r="E534" i="9"/>
  <c r="D534" i="9"/>
  <c r="C534" i="9"/>
  <c r="O533" i="9"/>
  <c r="M533" i="9"/>
  <c r="F533" i="9"/>
  <c r="E533" i="9"/>
  <c r="D533" i="9"/>
  <c r="C533" i="9"/>
  <c r="O532" i="9"/>
  <c r="M532" i="9"/>
  <c r="F532" i="9"/>
  <c r="E532" i="9"/>
  <c r="D532" i="9"/>
  <c r="C532" i="9"/>
  <c r="O531" i="9"/>
  <c r="M531" i="9"/>
  <c r="F531" i="9"/>
  <c r="E531" i="9"/>
  <c r="D531" i="9"/>
  <c r="C531" i="9"/>
  <c r="O530" i="9"/>
  <c r="M530" i="9"/>
  <c r="F530" i="9"/>
  <c r="E530" i="9"/>
  <c r="D530" i="9"/>
  <c r="C530" i="9"/>
  <c r="O529" i="9"/>
  <c r="M529" i="9"/>
  <c r="F529" i="9"/>
  <c r="E529" i="9"/>
  <c r="D529" i="9"/>
  <c r="C529" i="9"/>
  <c r="O528" i="9"/>
  <c r="M528" i="9"/>
  <c r="F528" i="9"/>
  <c r="E528" i="9"/>
  <c r="D528" i="9"/>
  <c r="C528" i="9"/>
  <c r="O527" i="9"/>
  <c r="M527" i="9"/>
  <c r="F527" i="9"/>
  <c r="E527" i="9"/>
  <c r="D527" i="9"/>
  <c r="C527" i="9"/>
  <c r="O526" i="9"/>
  <c r="M526" i="9"/>
  <c r="F526" i="9"/>
  <c r="E526" i="9"/>
  <c r="D526" i="9"/>
  <c r="C526" i="9"/>
  <c r="O525" i="9"/>
  <c r="M525" i="9"/>
  <c r="F525" i="9"/>
  <c r="E525" i="9"/>
  <c r="D525" i="9"/>
  <c r="C525" i="9"/>
  <c r="O524" i="9"/>
  <c r="M524" i="9"/>
  <c r="F524" i="9"/>
  <c r="E524" i="9"/>
  <c r="D524" i="9"/>
  <c r="C524" i="9"/>
  <c r="O523" i="9"/>
  <c r="M523" i="9"/>
  <c r="F523" i="9"/>
  <c r="E523" i="9"/>
  <c r="D523" i="9"/>
  <c r="C523" i="9"/>
  <c r="O522" i="9"/>
  <c r="M522" i="9"/>
  <c r="F522" i="9"/>
  <c r="E522" i="9"/>
  <c r="D522" i="9"/>
  <c r="C522" i="9"/>
  <c r="O521" i="9"/>
  <c r="M521" i="9"/>
  <c r="F521" i="9"/>
  <c r="E521" i="9"/>
  <c r="D521" i="9"/>
  <c r="C521" i="9"/>
  <c r="O520" i="9"/>
  <c r="M520" i="9"/>
  <c r="F520" i="9"/>
  <c r="E520" i="9"/>
  <c r="D520" i="9"/>
  <c r="C520" i="9"/>
  <c r="O519" i="9"/>
  <c r="M519" i="9"/>
  <c r="F519" i="9"/>
  <c r="E519" i="9"/>
  <c r="D519" i="9"/>
  <c r="C519" i="9"/>
  <c r="O518" i="9"/>
  <c r="M518" i="9"/>
  <c r="F518" i="9"/>
  <c r="E518" i="9"/>
  <c r="D518" i="9"/>
  <c r="C518" i="9"/>
  <c r="O517" i="9"/>
  <c r="M517" i="9"/>
  <c r="F517" i="9"/>
  <c r="E517" i="9"/>
  <c r="D517" i="9"/>
  <c r="C517" i="9"/>
  <c r="O516" i="9"/>
  <c r="M516" i="9"/>
  <c r="F516" i="9"/>
  <c r="E516" i="9"/>
  <c r="D516" i="9"/>
  <c r="C516" i="9"/>
  <c r="O515" i="9"/>
  <c r="M515" i="9"/>
  <c r="F515" i="9"/>
  <c r="E515" i="9"/>
  <c r="D515" i="9"/>
  <c r="C515" i="9"/>
  <c r="O514" i="9"/>
  <c r="M514" i="9"/>
  <c r="F514" i="9"/>
  <c r="E514" i="9"/>
  <c r="D514" i="9"/>
  <c r="C514" i="9"/>
  <c r="O513" i="9"/>
  <c r="M513" i="9"/>
  <c r="F513" i="9"/>
  <c r="E513" i="9"/>
  <c r="D513" i="9"/>
  <c r="C513" i="9"/>
  <c r="O512" i="9"/>
  <c r="M512" i="9"/>
  <c r="F512" i="9"/>
  <c r="E512" i="9"/>
  <c r="D512" i="9"/>
  <c r="C512" i="9"/>
  <c r="O511" i="9"/>
  <c r="M511" i="9"/>
  <c r="F511" i="9"/>
  <c r="E511" i="9"/>
  <c r="D511" i="9"/>
  <c r="C511" i="9"/>
  <c r="O510" i="9"/>
  <c r="M510" i="9"/>
  <c r="F510" i="9"/>
  <c r="E510" i="9"/>
  <c r="D510" i="9"/>
  <c r="C510" i="9"/>
  <c r="O509" i="9"/>
  <c r="M509" i="9"/>
  <c r="F509" i="9"/>
  <c r="E509" i="9"/>
  <c r="D509" i="9"/>
  <c r="C509" i="9"/>
  <c r="O508" i="9"/>
  <c r="M508" i="9"/>
  <c r="F508" i="9"/>
  <c r="E508" i="9"/>
  <c r="D508" i="9"/>
  <c r="C508" i="9"/>
  <c r="O507" i="9"/>
  <c r="M507" i="9"/>
  <c r="F507" i="9"/>
  <c r="E507" i="9"/>
  <c r="D507" i="9"/>
  <c r="C507" i="9"/>
  <c r="O506" i="9"/>
  <c r="M506" i="9"/>
  <c r="F506" i="9"/>
  <c r="E506" i="9"/>
  <c r="D506" i="9"/>
  <c r="C506" i="9"/>
  <c r="O505" i="9"/>
  <c r="M505" i="9"/>
  <c r="F505" i="9"/>
  <c r="E505" i="9"/>
  <c r="D505" i="9"/>
  <c r="C505" i="9"/>
  <c r="O504" i="9"/>
  <c r="M504" i="9"/>
  <c r="F504" i="9"/>
  <c r="E504" i="9"/>
  <c r="D504" i="9"/>
  <c r="C504" i="9"/>
  <c r="O503" i="9"/>
  <c r="M503" i="9"/>
  <c r="F503" i="9"/>
  <c r="E503" i="9"/>
  <c r="D503" i="9"/>
  <c r="C503" i="9"/>
  <c r="O502" i="9"/>
  <c r="M502" i="9"/>
  <c r="F502" i="9"/>
  <c r="E502" i="9"/>
  <c r="D502" i="9"/>
  <c r="C502" i="9"/>
  <c r="O501" i="9"/>
  <c r="M501" i="9"/>
  <c r="F501" i="9"/>
  <c r="E501" i="9"/>
  <c r="D501" i="9"/>
  <c r="C501" i="9"/>
  <c r="O500" i="9"/>
  <c r="M500" i="9"/>
  <c r="F500" i="9"/>
  <c r="E500" i="9"/>
  <c r="D500" i="9"/>
  <c r="C500" i="9"/>
  <c r="O499" i="9"/>
  <c r="M499" i="9"/>
  <c r="F499" i="9"/>
  <c r="E499" i="9"/>
  <c r="D499" i="9"/>
  <c r="C499" i="9"/>
  <c r="O498" i="9"/>
  <c r="M498" i="9"/>
  <c r="F498" i="9"/>
  <c r="E498" i="9"/>
  <c r="D498" i="9"/>
  <c r="C498" i="9"/>
  <c r="O497" i="9"/>
  <c r="M497" i="9"/>
  <c r="F497" i="9"/>
  <c r="E497" i="9"/>
  <c r="D497" i="9"/>
  <c r="C497" i="9"/>
  <c r="O496" i="9"/>
  <c r="M496" i="9"/>
  <c r="F496" i="9"/>
  <c r="E496" i="9"/>
  <c r="D496" i="9"/>
  <c r="C496" i="9"/>
  <c r="O495" i="9"/>
  <c r="M495" i="9"/>
  <c r="F495" i="9"/>
  <c r="E495" i="9"/>
  <c r="D495" i="9"/>
  <c r="C495" i="9"/>
  <c r="O494" i="9"/>
  <c r="M494" i="9"/>
  <c r="F494" i="9"/>
  <c r="E494" i="9"/>
  <c r="D494" i="9"/>
  <c r="C494" i="9"/>
  <c r="O493" i="9"/>
  <c r="M493" i="9"/>
  <c r="F493" i="9"/>
  <c r="E493" i="9"/>
  <c r="D493" i="9"/>
  <c r="C493" i="9"/>
  <c r="O492" i="9"/>
  <c r="M492" i="9"/>
  <c r="F492" i="9"/>
  <c r="E492" i="9"/>
  <c r="D492" i="9"/>
  <c r="C492" i="9"/>
  <c r="O491" i="9"/>
  <c r="M491" i="9"/>
  <c r="F491" i="9"/>
  <c r="E491" i="9"/>
  <c r="D491" i="9"/>
  <c r="C491" i="9"/>
  <c r="O490" i="9"/>
  <c r="M490" i="9"/>
  <c r="F490" i="9"/>
  <c r="E490" i="9"/>
  <c r="D490" i="9"/>
  <c r="C490" i="9"/>
  <c r="O489" i="9"/>
  <c r="M489" i="9"/>
  <c r="F489" i="9"/>
  <c r="E489" i="9"/>
  <c r="D489" i="9"/>
  <c r="C489" i="9"/>
  <c r="O488" i="9"/>
  <c r="M488" i="9"/>
  <c r="F488" i="9"/>
  <c r="E488" i="9"/>
  <c r="D488" i="9"/>
  <c r="C488" i="9"/>
  <c r="O487" i="9"/>
  <c r="M487" i="9"/>
  <c r="F487" i="9"/>
  <c r="E487" i="9"/>
  <c r="D487" i="9"/>
  <c r="C487" i="9"/>
  <c r="O486" i="9"/>
  <c r="M486" i="9"/>
  <c r="F486" i="9"/>
  <c r="E486" i="9"/>
  <c r="D486" i="9"/>
  <c r="C486" i="9"/>
  <c r="O485" i="9"/>
  <c r="M485" i="9"/>
  <c r="F485" i="9"/>
  <c r="E485" i="9"/>
  <c r="D485" i="9"/>
  <c r="C485" i="9"/>
  <c r="O484" i="9"/>
  <c r="M484" i="9"/>
  <c r="F484" i="9"/>
  <c r="E484" i="9"/>
  <c r="D484" i="9"/>
  <c r="C484" i="9"/>
  <c r="O483" i="9"/>
  <c r="M483" i="9"/>
  <c r="F483" i="9"/>
  <c r="E483" i="9"/>
  <c r="D483" i="9"/>
  <c r="C483" i="9"/>
  <c r="O482" i="9"/>
  <c r="M482" i="9"/>
  <c r="F482" i="9"/>
  <c r="E482" i="9"/>
  <c r="D482" i="9"/>
  <c r="C482" i="9"/>
  <c r="O481" i="9"/>
  <c r="M481" i="9"/>
  <c r="F481" i="9"/>
  <c r="E481" i="9"/>
  <c r="D481" i="9"/>
  <c r="C481" i="9"/>
  <c r="O480" i="9"/>
  <c r="M480" i="9"/>
  <c r="F480" i="9"/>
  <c r="E480" i="9"/>
  <c r="D480" i="9"/>
  <c r="C480" i="9"/>
  <c r="O479" i="9"/>
  <c r="M479" i="9"/>
  <c r="F479" i="9"/>
  <c r="E479" i="9"/>
  <c r="D479" i="9"/>
  <c r="C479" i="9"/>
  <c r="O478" i="9"/>
  <c r="M478" i="9"/>
  <c r="F478" i="9"/>
  <c r="E478" i="9"/>
  <c r="D478" i="9"/>
  <c r="C478" i="9"/>
  <c r="O477" i="9"/>
  <c r="M477" i="9"/>
  <c r="F477" i="9"/>
  <c r="E477" i="9"/>
  <c r="D477" i="9"/>
  <c r="C477" i="9"/>
  <c r="O476" i="9"/>
  <c r="M476" i="9"/>
  <c r="F476" i="9"/>
  <c r="E476" i="9"/>
  <c r="D476" i="9"/>
  <c r="C476" i="9"/>
  <c r="O475" i="9"/>
  <c r="M475" i="9"/>
  <c r="F475" i="9"/>
  <c r="E475" i="9"/>
  <c r="D475" i="9"/>
  <c r="C475" i="9"/>
  <c r="O474" i="9"/>
  <c r="M474" i="9"/>
  <c r="F474" i="9"/>
  <c r="E474" i="9"/>
  <c r="D474" i="9"/>
  <c r="C474" i="9"/>
  <c r="O473" i="9"/>
  <c r="M473" i="9"/>
  <c r="F473" i="9"/>
  <c r="E473" i="9"/>
  <c r="D473" i="9"/>
  <c r="C473" i="9"/>
  <c r="O472" i="9"/>
  <c r="M472" i="9"/>
  <c r="F472" i="9"/>
  <c r="E472" i="9"/>
  <c r="D472" i="9"/>
  <c r="C472" i="9"/>
  <c r="O471" i="9"/>
  <c r="M471" i="9"/>
  <c r="F471" i="9"/>
  <c r="E471" i="9"/>
  <c r="D471" i="9"/>
  <c r="C471" i="9"/>
  <c r="O470" i="9"/>
  <c r="M470" i="9"/>
  <c r="F470" i="9"/>
  <c r="E470" i="9"/>
  <c r="D470" i="9"/>
  <c r="C470" i="9"/>
  <c r="O469" i="9"/>
  <c r="M469" i="9"/>
  <c r="F469" i="9"/>
  <c r="E469" i="9"/>
  <c r="D469" i="9"/>
  <c r="C469" i="9"/>
  <c r="O468" i="9"/>
  <c r="M468" i="9"/>
  <c r="F468" i="9"/>
  <c r="E468" i="9"/>
  <c r="D468" i="9"/>
  <c r="C468" i="9"/>
  <c r="O467" i="9"/>
  <c r="M467" i="9"/>
  <c r="F467" i="9"/>
  <c r="E467" i="9"/>
  <c r="D467" i="9"/>
  <c r="C467" i="9"/>
  <c r="O466" i="9"/>
  <c r="M466" i="9"/>
  <c r="F466" i="9"/>
  <c r="E466" i="9"/>
  <c r="D466" i="9"/>
  <c r="C466" i="9"/>
  <c r="O465" i="9"/>
  <c r="M465" i="9"/>
  <c r="F465" i="9"/>
  <c r="E465" i="9"/>
  <c r="D465" i="9"/>
  <c r="C465" i="9"/>
  <c r="O464" i="9"/>
  <c r="M464" i="9"/>
  <c r="F464" i="9"/>
  <c r="E464" i="9"/>
  <c r="D464" i="9"/>
  <c r="C464" i="9"/>
  <c r="O463" i="9"/>
  <c r="M463" i="9"/>
  <c r="F463" i="9"/>
  <c r="E463" i="9"/>
  <c r="D463" i="9"/>
  <c r="C463" i="9"/>
  <c r="O462" i="9"/>
  <c r="M462" i="9"/>
  <c r="F462" i="9"/>
  <c r="E462" i="9"/>
  <c r="D462" i="9"/>
  <c r="C462" i="9"/>
  <c r="O461" i="9"/>
  <c r="M461" i="9"/>
  <c r="F461" i="9"/>
  <c r="E461" i="9"/>
  <c r="D461" i="9"/>
  <c r="C461" i="9"/>
  <c r="O460" i="9"/>
  <c r="M460" i="9"/>
  <c r="F460" i="9"/>
  <c r="E460" i="9"/>
  <c r="D460" i="9"/>
  <c r="C460" i="9"/>
  <c r="O459" i="9"/>
  <c r="M459" i="9"/>
  <c r="F459" i="9"/>
  <c r="E459" i="9"/>
  <c r="D459" i="9"/>
  <c r="C459" i="9"/>
  <c r="O458" i="9"/>
  <c r="M458" i="9"/>
  <c r="F458" i="9"/>
  <c r="E458" i="9"/>
  <c r="D458" i="9"/>
  <c r="C458" i="9"/>
  <c r="O457" i="9"/>
  <c r="M457" i="9"/>
  <c r="F457" i="9"/>
  <c r="E457" i="9"/>
  <c r="D457" i="9"/>
  <c r="C457" i="9"/>
  <c r="O456" i="9"/>
  <c r="M456" i="9"/>
  <c r="F456" i="9"/>
  <c r="E456" i="9"/>
  <c r="D456" i="9"/>
  <c r="C456" i="9"/>
  <c r="O455" i="9"/>
  <c r="M455" i="9"/>
  <c r="F455" i="9"/>
  <c r="E455" i="9"/>
  <c r="D455" i="9"/>
  <c r="C455" i="9"/>
  <c r="O454" i="9"/>
  <c r="M454" i="9"/>
  <c r="F454" i="9"/>
  <c r="E454" i="9"/>
  <c r="D454" i="9"/>
  <c r="C454" i="9"/>
  <c r="O453" i="9"/>
  <c r="M453" i="9"/>
  <c r="F453" i="9"/>
  <c r="E453" i="9"/>
  <c r="D453" i="9"/>
  <c r="C453" i="9"/>
  <c r="O452" i="9"/>
  <c r="M452" i="9"/>
  <c r="F452" i="9"/>
  <c r="E452" i="9"/>
  <c r="D452" i="9"/>
  <c r="C452" i="9"/>
  <c r="O451" i="9"/>
  <c r="M451" i="9"/>
  <c r="F451" i="9"/>
  <c r="E451" i="9"/>
  <c r="D451" i="9"/>
  <c r="C451" i="9"/>
  <c r="O450" i="9"/>
  <c r="M450" i="9"/>
  <c r="F450" i="9"/>
  <c r="E450" i="9"/>
  <c r="D450" i="9"/>
  <c r="C450" i="9"/>
  <c r="O449" i="9"/>
  <c r="M449" i="9"/>
  <c r="F449" i="9"/>
  <c r="E449" i="9"/>
  <c r="D449" i="9"/>
  <c r="C449" i="9"/>
  <c r="O448" i="9"/>
  <c r="M448" i="9"/>
  <c r="F448" i="9"/>
  <c r="E448" i="9"/>
  <c r="D448" i="9"/>
  <c r="C448" i="9"/>
  <c r="O447" i="9"/>
  <c r="M447" i="9"/>
  <c r="F447" i="9"/>
  <c r="E447" i="9"/>
  <c r="D447" i="9"/>
  <c r="C447" i="9"/>
  <c r="O446" i="9"/>
  <c r="M446" i="9"/>
  <c r="F446" i="9"/>
  <c r="E446" i="9"/>
  <c r="D446" i="9"/>
  <c r="C446" i="9"/>
  <c r="O445" i="9"/>
  <c r="M445" i="9"/>
  <c r="F445" i="9"/>
  <c r="E445" i="9"/>
  <c r="D445" i="9"/>
  <c r="C445" i="9"/>
  <c r="O444" i="9"/>
  <c r="M444" i="9"/>
  <c r="F444" i="9"/>
  <c r="E444" i="9"/>
  <c r="D444" i="9"/>
  <c r="C444" i="9"/>
  <c r="O443" i="9"/>
  <c r="M443" i="9"/>
  <c r="F443" i="9"/>
  <c r="E443" i="9"/>
  <c r="D443" i="9"/>
  <c r="C443" i="9"/>
  <c r="O442" i="9"/>
  <c r="M442" i="9"/>
  <c r="F442" i="9"/>
  <c r="E442" i="9"/>
  <c r="D442" i="9"/>
  <c r="C442" i="9"/>
  <c r="O441" i="9"/>
  <c r="M441" i="9"/>
  <c r="F441" i="9"/>
  <c r="E441" i="9"/>
  <c r="D441" i="9"/>
  <c r="C441" i="9"/>
  <c r="O440" i="9"/>
  <c r="M440" i="9"/>
  <c r="F440" i="9"/>
  <c r="E440" i="9"/>
  <c r="D440" i="9"/>
  <c r="C440" i="9"/>
  <c r="O439" i="9"/>
  <c r="M439" i="9"/>
  <c r="F439" i="9"/>
  <c r="E439" i="9"/>
  <c r="D439" i="9"/>
  <c r="C439" i="9"/>
  <c r="O438" i="9"/>
  <c r="M438" i="9"/>
  <c r="F438" i="9"/>
  <c r="E438" i="9"/>
  <c r="D438" i="9"/>
  <c r="C438" i="9"/>
  <c r="O437" i="9"/>
  <c r="M437" i="9"/>
  <c r="F437" i="9"/>
  <c r="E437" i="9"/>
  <c r="D437" i="9"/>
  <c r="C437" i="9"/>
  <c r="O436" i="9"/>
  <c r="M436" i="9"/>
  <c r="F436" i="9"/>
  <c r="E436" i="9"/>
  <c r="D436" i="9"/>
  <c r="C436" i="9"/>
  <c r="O435" i="9"/>
  <c r="M435" i="9"/>
  <c r="F435" i="9"/>
  <c r="E435" i="9"/>
  <c r="D435" i="9"/>
  <c r="C435" i="9"/>
  <c r="O434" i="9"/>
  <c r="M434" i="9"/>
  <c r="F434" i="9"/>
  <c r="E434" i="9"/>
  <c r="D434" i="9"/>
  <c r="C434" i="9"/>
  <c r="O433" i="9"/>
  <c r="M433" i="9"/>
  <c r="F433" i="9"/>
  <c r="E433" i="9"/>
  <c r="D433" i="9"/>
  <c r="C433" i="9"/>
  <c r="O432" i="9"/>
  <c r="M432" i="9"/>
  <c r="F432" i="9"/>
  <c r="E432" i="9"/>
  <c r="D432" i="9"/>
  <c r="C432" i="9"/>
  <c r="O431" i="9"/>
  <c r="M431" i="9"/>
  <c r="F431" i="9"/>
  <c r="E431" i="9"/>
  <c r="D431" i="9"/>
  <c r="C431" i="9"/>
  <c r="O430" i="9"/>
  <c r="M430" i="9"/>
  <c r="F430" i="9"/>
  <c r="E430" i="9"/>
  <c r="D430" i="9"/>
  <c r="C430" i="9"/>
  <c r="O429" i="9"/>
  <c r="M429" i="9"/>
  <c r="F429" i="9"/>
  <c r="E429" i="9"/>
  <c r="D429" i="9"/>
  <c r="C429" i="9"/>
  <c r="O428" i="9"/>
  <c r="M428" i="9"/>
  <c r="F428" i="9"/>
  <c r="E428" i="9"/>
  <c r="D428" i="9"/>
  <c r="C428" i="9"/>
  <c r="O427" i="9"/>
  <c r="M427" i="9"/>
  <c r="F427" i="9"/>
  <c r="E427" i="9"/>
  <c r="D427" i="9"/>
  <c r="C427" i="9"/>
  <c r="O426" i="9"/>
  <c r="M426" i="9"/>
  <c r="F426" i="9"/>
  <c r="E426" i="9"/>
  <c r="D426" i="9"/>
  <c r="C426" i="9"/>
  <c r="O425" i="9"/>
  <c r="M425" i="9"/>
  <c r="F425" i="9"/>
  <c r="E425" i="9"/>
  <c r="D425" i="9"/>
  <c r="C425" i="9"/>
  <c r="O424" i="9"/>
  <c r="M424" i="9"/>
  <c r="F424" i="9"/>
  <c r="E424" i="9"/>
  <c r="D424" i="9"/>
  <c r="C424" i="9"/>
  <c r="O423" i="9"/>
  <c r="M423" i="9"/>
  <c r="F423" i="9"/>
  <c r="E423" i="9"/>
  <c r="D423" i="9"/>
  <c r="C423" i="9"/>
  <c r="O422" i="9"/>
  <c r="M422" i="9"/>
  <c r="F422" i="9"/>
  <c r="E422" i="9"/>
  <c r="D422" i="9"/>
  <c r="C422" i="9"/>
  <c r="O421" i="9"/>
  <c r="M421" i="9"/>
  <c r="F421" i="9"/>
  <c r="E421" i="9"/>
  <c r="D421" i="9"/>
  <c r="C421" i="9"/>
  <c r="O420" i="9"/>
  <c r="M420" i="9"/>
  <c r="F420" i="9"/>
  <c r="E420" i="9"/>
  <c r="D420" i="9"/>
  <c r="C420" i="9"/>
  <c r="O419" i="9"/>
  <c r="M419" i="9"/>
  <c r="F419" i="9"/>
  <c r="E419" i="9"/>
  <c r="D419" i="9"/>
  <c r="C419" i="9"/>
  <c r="O418" i="9"/>
  <c r="M418" i="9"/>
  <c r="F418" i="9"/>
  <c r="E418" i="9"/>
  <c r="D418" i="9"/>
  <c r="C418" i="9"/>
  <c r="O417" i="9"/>
  <c r="M417" i="9"/>
  <c r="F417" i="9"/>
  <c r="E417" i="9"/>
  <c r="D417" i="9"/>
  <c r="C417" i="9"/>
  <c r="O416" i="9"/>
  <c r="M416" i="9"/>
  <c r="F416" i="9"/>
  <c r="E416" i="9"/>
  <c r="D416" i="9"/>
  <c r="C416" i="9"/>
  <c r="O415" i="9"/>
  <c r="M415" i="9"/>
  <c r="F415" i="9"/>
  <c r="E415" i="9"/>
  <c r="D415" i="9"/>
  <c r="C415" i="9"/>
  <c r="O414" i="9"/>
  <c r="M414" i="9"/>
  <c r="F414" i="9"/>
  <c r="E414" i="9"/>
  <c r="D414" i="9"/>
  <c r="C414" i="9"/>
  <c r="O413" i="9"/>
  <c r="M413" i="9"/>
  <c r="F413" i="9"/>
  <c r="E413" i="9"/>
  <c r="D413" i="9"/>
  <c r="C413" i="9"/>
  <c r="O412" i="9"/>
  <c r="M412" i="9"/>
  <c r="F412" i="9"/>
  <c r="E412" i="9"/>
  <c r="D412" i="9"/>
  <c r="C412" i="9"/>
  <c r="O411" i="9"/>
  <c r="M411" i="9"/>
  <c r="F411" i="9"/>
  <c r="E411" i="9"/>
  <c r="D411" i="9"/>
  <c r="C411" i="9"/>
  <c r="O410" i="9"/>
  <c r="M410" i="9"/>
  <c r="F410" i="9"/>
  <c r="E410" i="9"/>
  <c r="D410" i="9"/>
  <c r="C410" i="9"/>
  <c r="O409" i="9"/>
  <c r="M409" i="9"/>
  <c r="F409" i="9"/>
  <c r="E409" i="9"/>
  <c r="D409" i="9"/>
  <c r="C409" i="9"/>
  <c r="O408" i="9"/>
  <c r="M408" i="9"/>
  <c r="F408" i="9"/>
  <c r="E408" i="9"/>
  <c r="D408" i="9"/>
  <c r="C408" i="9"/>
  <c r="O407" i="9"/>
  <c r="M407" i="9"/>
  <c r="F407" i="9"/>
  <c r="E407" i="9"/>
  <c r="D407" i="9"/>
  <c r="C407" i="9"/>
  <c r="O406" i="9"/>
  <c r="M406" i="9"/>
  <c r="F406" i="9"/>
  <c r="E406" i="9"/>
  <c r="D406" i="9"/>
  <c r="C406" i="9"/>
  <c r="O405" i="9"/>
  <c r="M405" i="9"/>
  <c r="F405" i="9"/>
  <c r="E405" i="9"/>
  <c r="D405" i="9"/>
  <c r="C405" i="9"/>
  <c r="O404" i="9"/>
  <c r="M404" i="9"/>
  <c r="F404" i="9"/>
  <c r="E404" i="9"/>
  <c r="D404" i="9"/>
  <c r="C404" i="9"/>
  <c r="O403" i="9"/>
  <c r="M403" i="9"/>
  <c r="F403" i="9"/>
  <c r="E403" i="9"/>
  <c r="D403" i="9"/>
  <c r="C403" i="9"/>
  <c r="O402" i="9"/>
  <c r="M402" i="9"/>
  <c r="F402" i="9"/>
  <c r="E402" i="9"/>
  <c r="D402" i="9"/>
  <c r="C402" i="9"/>
  <c r="O401" i="9"/>
  <c r="M401" i="9"/>
  <c r="F401" i="9"/>
  <c r="E401" i="9"/>
  <c r="D401" i="9"/>
  <c r="C401" i="9"/>
  <c r="O400" i="9"/>
  <c r="M400" i="9"/>
  <c r="F400" i="9"/>
  <c r="E400" i="9"/>
  <c r="D400" i="9"/>
  <c r="C400" i="9"/>
  <c r="O399" i="9"/>
  <c r="M399" i="9"/>
  <c r="F399" i="9"/>
  <c r="E399" i="9"/>
  <c r="D399" i="9"/>
  <c r="C399" i="9"/>
  <c r="O398" i="9"/>
  <c r="M398" i="9"/>
  <c r="F398" i="9"/>
  <c r="E398" i="9"/>
  <c r="D398" i="9"/>
  <c r="C398" i="9"/>
  <c r="O397" i="9"/>
  <c r="M397" i="9"/>
  <c r="F397" i="9"/>
  <c r="E397" i="9"/>
  <c r="D397" i="9"/>
  <c r="C397" i="9"/>
  <c r="O396" i="9"/>
  <c r="M396" i="9"/>
  <c r="F396" i="9"/>
  <c r="E396" i="9"/>
  <c r="D396" i="9"/>
  <c r="C396" i="9"/>
  <c r="O395" i="9"/>
  <c r="M395" i="9"/>
  <c r="F395" i="9"/>
  <c r="E395" i="9"/>
  <c r="D395" i="9"/>
  <c r="C395" i="9"/>
  <c r="O394" i="9"/>
  <c r="M394" i="9"/>
  <c r="F394" i="9"/>
  <c r="E394" i="9"/>
  <c r="D394" i="9"/>
  <c r="C394" i="9"/>
  <c r="O393" i="9"/>
  <c r="M393" i="9"/>
  <c r="F393" i="9"/>
  <c r="E393" i="9"/>
  <c r="D393" i="9"/>
  <c r="C393" i="9"/>
  <c r="O392" i="9"/>
  <c r="M392" i="9"/>
  <c r="F392" i="9"/>
  <c r="E392" i="9"/>
  <c r="D392" i="9"/>
  <c r="C392" i="9"/>
  <c r="O391" i="9"/>
  <c r="M391" i="9"/>
  <c r="F391" i="9"/>
  <c r="E391" i="9"/>
  <c r="D391" i="9"/>
  <c r="C391" i="9"/>
  <c r="O390" i="9"/>
  <c r="M390" i="9"/>
  <c r="F390" i="9"/>
  <c r="E390" i="9"/>
  <c r="D390" i="9"/>
  <c r="C390" i="9"/>
  <c r="O389" i="9"/>
  <c r="M389" i="9"/>
  <c r="F389" i="9"/>
  <c r="E389" i="9"/>
  <c r="D389" i="9"/>
  <c r="C389" i="9"/>
  <c r="O388" i="9"/>
  <c r="M388" i="9"/>
  <c r="F388" i="9"/>
  <c r="E388" i="9"/>
  <c r="D388" i="9"/>
  <c r="C388" i="9"/>
  <c r="O387" i="9"/>
  <c r="M387" i="9"/>
  <c r="F387" i="9"/>
  <c r="E387" i="9"/>
  <c r="D387" i="9"/>
  <c r="C387" i="9"/>
  <c r="O386" i="9"/>
  <c r="M386" i="9"/>
  <c r="F386" i="9"/>
  <c r="E386" i="9"/>
  <c r="D386" i="9"/>
  <c r="C386" i="9"/>
  <c r="O385" i="9"/>
  <c r="M385" i="9"/>
  <c r="F385" i="9"/>
  <c r="E385" i="9"/>
  <c r="D385" i="9"/>
  <c r="C385" i="9"/>
  <c r="O384" i="9"/>
  <c r="M384" i="9"/>
  <c r="F384" i="9"/>
  <c r="E384" i="9"/>
  <c r="D384" i="9"/>
  <c r="C384" i="9"/>
  <c r="O383" i="9"/>
  <c r="M383" i="9"/>
  <c r="F383" i="9"/>
  <c r="E383" i="9"/>
  <c r="D383" i="9"/>
  <c r="C383" i="9"/>
  <c r="O382" i="9"/>
  <c r="M382" i="9"/>
  <c r="F382" i="9"/>
  <c r="E382" i="9"/>
  <c r="D382" i="9"/>
  <c r="C382" i="9"/>
  <c r="O381" i="9"/>
  <c r="M381" i="9"/>
  <c r="F381" i="9"/>
  <c r="E381" i="9"/>
  <c r="D381" i="9"/>
  <c r="C381" i="9"/>
  <c r="O380" i="9"/>
  <c r="M380" i="9"/>
  <c r="F380" i="9"/>
  <c r="E380" i="9"/>
  <c r="D380" i="9"/>
  <c r="C380" i="9"/>
  <c r="O379" i="9"/>
  <c r="M379" i="9"/>
  <c r="F379" i="9"/>
  <c r="E379" i="9"/>
  <c r="D379" i="9"/>
  <c r="C379" i="9"/>
  <c r="O378" i="9"/>
  <c r="M378" i="9"/>
  <c r="F378" i="9"/>
  <c r="E378" i="9"/>
  <c r="D378" i="9"/>
  <c r="C378" i="9"/>
  <c r="O377" i="9"/>
  <c r="M377" i="9"/>
  <c r="F377" i="9"/>
  <c r="E377" i="9"/>
  <c r="D377" i="9"/>
  <c r="C377" i="9"/>
  <c r="O376" i="9"/>
  <c r="M376" i="9"/>
  <c r="F376" i="9"/>
  <c r="E376" i="9"/>
  <c r="D376" i="9"/>
  <c r="C376" i="9"/>
  <c r="O375" i="9"/>
  <c r="M375" i="9"/>
  <c r="F375" i="9"/>
  <c r="E375" i="9"/>
  <c r="D375" i="9"/>
  <c r="C375" i="9"/>
  <c r="O374" i="9"/>
  <c r="M374" i="9"/>
  <c r="F374" i="9"/>
  <c r="E374" i="9"/>
  <c r="D374" i="9"/>
  <c r="C374" i="9"/>
  <c r="O373" i="9"/>
  <c r="M373" i="9"/>
  <c r="F373" i="9"/>
  <c r="E373" i="9"/>
  <c r="D373" i="9"/>
  <c r="C373" i="9"/>
  <c r="O372" i="9"/>
  <c r="M372" i="9"/>
  <c r="F372" i="9"/>
  <c r="E372" i="9"/>
  <c r="D372" i="9"/>
  <c r="C372" i="9"/>
  <c r="O371" i="9"/>
  <c r="M371" i="9"/>
  <c r="F371" i="9"/>
  <c r="E371" i="9"/>
  <c r="D371" i="9"/>
  <c r="C371" i="9"/>
  <c r="O370" i="9"/>
  <c r="M370" i="9"/>
  <c r="F370" i="9"/>
  <c r="E370" i="9"/>
  <c r="D370" i="9"/>
  <c r="C370" i="9"/>
  <c r="O369" i="9"/>
  <c r="M369" i="9"/>
  <c r="F369" i="9"/>
  <c r="E369" i="9"/>
  <c r="D369" i="9"/>
  <c r="C369" i="9"/>
  <c r="O368" i="9"/>
  <c r="M368" i="9"/>
  <c r="F368" i="9"/>
  <c r="E368" i="9"/>
  <c r="D368" i="9"/>
  <c r="C368" i="9"/>
  <c r="O367" i="9"/>
  <c r="M367" i="9"/>
  <c r="F367" i="9"/>
  <c r="E367" i="9"/>
  <c r="D367" i="9"/>
  <c r="C367" i="9"/>
  <c r="O366" i="9"/>
  <c r="M366" i="9"/>
  <c r="F366" i="9"/>
  <c r="E366" i="9"/>
  <c r="D366" i="9"/>
  <c r="C366" i="9"/>
  <c r="O365" i="9"/>
  <c r="M365" i="9"/>
  <c r="F365" i="9"/>
  <c r="E365" i="9"/>
  <c r="D365" i="9"/>
  <c r="C365" i="9"/>
  <c r="O364" i="9"/>
  <c r="M364" i="9"/>
  <c r="F364" i="9"/>
  <c r="E364" i="9"/>
  <c r="D364" i="9"/>
  <c r="C364" i="9"/>
  <c r="O363" i="9"/>
  <c r="M363" i="9"/>
  <c r="F363" i="9"/>
  <c r="E363" i="9"/>
  <c r="D363" i="9"/>
  <c r="C363" i="9"/>
  <c r="O362" i="9"/>
  <c r="M362" i="9"/>
  <c r="F362" i="9"/>
  <c r="E362" i="9"/>
  <c r="D362" i="9"/>
  <c r="C362" i="9"/>
  <c r="O361" i="9"/>
  <c r="M361" i="9"/>
  <c r="F361" i="9"/>
  <c r="E361" i="9"/>
  <c r="D361" i="9"/>
  <c r="C361" i="9"/>
  <c r="O360" i="9"/>
  <c r="M360" i="9"/>
  <c r="F360" i="9"/>
  <c r="E360" i="9"/>
  <c r="D360" i="9"/>
  <c r="C360" i="9"/>
  <c r="O359" i="9"/>
  <c r="M359" i="9"/>
  <c r="F359" i="9"/>
  <c r="E359" i="9"/>
  <c r="D359" i="9"/>
  <c r="C359" i="9"/>
  <c r="O358" i="9"/>
  <c r="M358" i="9"/>
  <c r="F358" i="9"/>
  <c r="E358" i="9"/>
  <c r="D358" i="9"/>
  <c r="C358" i="9"/>
  <c r="O357" i="9"/>
  <c r="M357" i="9"/>
  <c r="F357" i="9"/>
  <c r="E357" i="9"/>
  <c r="D357" i="9"/>
  <c r="C357" i="9"/>
  <c r="O356" i="9"/>
  <c r="M356" i="9"/>
  <c r="F356" i="9"/>
  <c r="E356" i="9"/>
  <c r="D356" i="9"/>
  <c r="C356" i="9"/>
  <c r="O355" i="9"/>
  <c r="M355" i="9"/>
  <c r="F355" i="9"/>
  <c r="E355" i="9"/>
  <c r="D355" i="9"/>
  <c r="C355" i="9"/>
  <c r="O354" i="9"/>
  <c r="M354" i="9"/>
  <c r="F354" i="9"/>
  <c r="E354" i="9"/>
  <c r="D354" i="9"/>
  <c r="C354" i="9"/>
  <c r="O353" i="9"/>
  <c r="M353" i="9"/>
  <c r="F353" i="9"/>
  <c r="E353" i="9"/>
  <c r="D353" i="9"/>
  <c r="C353" i="9"/>
  <c r="O352" i="9"/>
  <c r="M352" i="9"/>
  <c r="F352" i="9"/>
  <c r="E352" i="9"/>
  <c r="D352" i="9"/>
  <c r="C352" i="9"/>
  <c r="O351" i="9"/>
  <c r="M351" i="9"/>
  <c r="F351" i="9"/>
  <c r="E351" i="9"/>
  <c r="D351" i="9"/>
  <c r="C351" i="9"/>
  <c r="O350" i="9"/>
  <c r="M350" i="9"/>
  <c r="F350" i="9"/>
  <c r="E350" i="9"/>
  <c r="D350" i="9"/>
  <c r="C350" i="9"/>
  <c r="O349" i="9"/>
  <c r="M349" i="9"/>
  <c r="F349" i="9"/>
  <c r="E349" i="9"/>
  <c r="D349" i="9"/>
  <c r="C349" i="9"/>
  <c r="O348" i="9"/>
  <c r="M348" i="9"/>
  <c r="F348" i="9"/>
  <c r="E348" i="9"/>
  <c r="D348" i="9"/>
  <c r="C348" i="9"/>
  <c r="O347" i="9"/>
  <c r="M347" i="9"/>
  <c r="F347" i="9"/>
  <c r="E347" i="9"/>
  <c r="D347" i="9"/>
  <c r="C347" i="9"/>
  <c r="O346" i="9"/>
  <c r="M346" i="9"/>
  <c r="F346" i="9"/>
  <c r="E346" i="9"/>
  <c r="D346" i="9"/>
  <c r="C346" i="9"/>
  <c r="O345" i="9"/>
  <c r="M345" i="9"/>
  <c r="F345" i="9"/>
  <c r="E345" i="9"/>
  <c r="D345" i="9"/>
  <c r="C345" i="9"/>
  <c r="O344" i="9"/>
  <c r="M344" i="9"/>
  <c r="F344" i="9"/>
  <c r="E344" i="9"/>
  <c r="D344" i="9"/>
  <c r="C344" i="9"/>
  <c r="O343" i="9"/>
  <c r="M343" i="9"/>
  <c r="F343" i="9"/>
  <c r="E343" i="9"/>
  <c r="D343" i="9"/>
  <c r="C343" i="9"/>
  <c r="O342" i="9"/>
  <c r="M342" i="9"/>
  <c r="F342" i="9"/>
  <c r="E342" i="9"/>
  <c r="D342" i="9"/>
  <c r="C342" i="9"/>
  <c r="O341" i="9"/>
  <c r="M341" i="9"/>
  <c r="F341" i="9"/>
  <c r="E341" i="9"/>
  <c r="D341" i="9"/>
  <c r="C341" i="9"/>
  <c r="O340" i="9"/>
  <c r="M340" i="9"/>
  <c r="F340" i="9"/>
  <c r="E340" i="9"/>
  <c r="D340" i="9"/>
  <c r="C340" i="9"/>
  <c r="O339" i="9"/>
  <c r="M339" i="9"/>
  <c r="F339" i="9"/>
  <c r="E339" i="9"/>
  <c r="D339" i="9"/>
  <c r="C339" i="9"/>
  <c r="O338" i="9"/>
  <c r="M338" i="9"/>
  <c r="F338" i="9"/>
  <c r="E338" i="9"/>
  <c r="D338" i="9"/>
  <c r="C338" i="9"/>
  <c r="O337" i="9"/>
  <c r="M337" i="9"/>
  <c r="F337" i="9"/>
  <c r="E337" i="9"/>
  <c r="D337" i="9"/>
  <c r="C337" i="9"/>
  <c r="O336" i="9"/>
  <c r="M336" i="9"/>
  <c r="F336" i="9"/>
  <c r="E336" i="9"/>
  <c r="D336" i="9"/>
  <c r="C336" i="9"/>
  <c r="O335" i="9"/>
  <c r="M335" i="9"/>
  <c r="F335" i="9"/>
  <c r="E335" i="9"/>
  <c r="D335" i="9"/>
  <c r="C335" i="9"/>
  <c r="O334" i="9"/>
  <c r="M334" i="9"/>
  <c r="F334" i="9"/>
  <c r="E334" i="9"/>
  <c r="D334" i="9"/>
  <c r="C334" i="9"/>
  <c r="O333" i="9"/>
  <c r="M333" i="9"/>
  <c r="F333" i="9"/>
  <c r="E333" i="9"/>
  <c r="D333" i="9"/>
  <c r="C333" i="9"/>
  <c r="O332" i="9"/>
  <c r="M332" i="9"/>
  <c r="F332" i="9"/>
  <c r="E332" i="9"/>
  <c r="D332" i="9"/>
  <c r="C332" i="9"/>
  <c r="O331" i="9"/>
  <c r="M331" i="9"/>
  <c r="F331" i="9"/>
  <c r="E331" i="9"/>
  <c r="D331" i="9"/>
  <c r="C331" i="9"/>
  <c r="O330" i="9"/>
  <c r="M330" i="9"/>
  <c r="F330" i="9"/>
  <c r="E330" i="9"/>
  <c r="D330" i="9"/>
  <c r="C330" i="9"/>
  <c r="O329" i="9"/>
  <c r="M329" i="9"/>
  <c r="F329" i="9"/>
  <c r="E329" i="9"/>
  <c r="D329" i="9"/>
  <c r="C329" i="9"/>
  <c r="O328" i="9"/>
  <c r="M328" i="9"/>
  <c r="F328" i="9"/>
  <c r="E328" i="9"/>
  <c r="D328" i="9"/>
  <c r="C328" i="9"/>
  <c r="O327" i="9"/>
  <c r="M327" i="9"/>
  <c r="F327" i="9"/>
  <c r="E327" i="9"/>
  <c r="D327" i="9"/>
  <c r="C327" i="9"/>
  <c r="O326" i="9"/>
  <c r="M326" i="9"/>
  <c r="F326" i="9"/>
  <c r="E326" i="9"/>
  <c r="D326" i="9"/>
  <c r="C326" i="9"/>
  <c r="O325" i="9"/>
  <c r="M325" i="9"/>
  <c r="F325" i="9"/>
  <c r="E325" i="9"/>
  <c r="D325" i="9"/>
  <c r="C325" i="9"/>
  <c r="O324" i="9"/>
  <c r="M324" i="9"/>
  <c r="F324" i="9"/>
  <c r="E324" i="9"/>
  <c r="D324" i="9"/>
  <c r="C324" i="9"/>
  <c r="O323" i="9"/>
  <c r="M323" i="9"/>
  <c r="F323" i="9"/>
  <c r="E323" i="9"/>
  <c r="D323" i="9"/>
  <c r="C323" i="9"/>
  <c r="O322" i="9"/>
  <c r="M322" i="9"/>
  <c r="F322" i="9"/>
  <c r="E322" i="9"/>
  <c r="D322" i="9"/>
  <c r="C322" i="9"/>
  <c r="O321" i="9"/>
  <c r="M321" i="9"/>
  <c r="F321" i="9"/>
  <c r="E321" i="9"/>
  <c r="D321" i="9"/>
  <c r="C321" i="9"/>
  <c r="O320" i="9"/>
  <c r="M320" i="9"/>
  <c r="F320" i="9"/>
  <c r="E320" i="9"/>
  <c r="D320" i="9"/>
  <c r="C320" i="9"/>
  <c r="O319" i="9"/>
  <c r="M319" i="9"/>
  <c r="F319" i="9"/>
  <c r="E319" i="9"/>
  <c r="D319" i="9"/>
  <c r="C319" i="9"/>
  <c r="O318" i="9"/>
  <c r="M318" i="9"/>
  <c r="F318" i="9"/>
  <c r="E318" i="9"/>
  <c r="D318" i="9"/>
  <c r="C318" i="9"/>
  <c r="O317" i="9"/>
  <c r="M317" i="9"/>
  <c r="F317" i="9"/>
  <c r="E317" i="9"/>
  <c r="D317" i="9"/>
  <c r="C317" i="9"/>
  <c r="O316" i="9"/>
  <c r="M316" i="9"/>
  <c r="F316" i="9"/>
  <c r="E316" i="9"/>
  <c r="D316" i="9"/>
  <c r="C316" i="9"/>
  <c r="O315" i="9"/>
  <c r="M315" i="9"/>
  <c r="F315" i="9"/>
  <c r="E315" i="9"/>
  <c r="D315" i="9"/>
  <c r="C315" i="9"/>
  <c r="O314" i="9"/>
  <c r="M314" i="9"/>
  <c r="F314" i="9"/>
  <c r="E314" i="9"/>
  <c r="D314" i="9"/>
  <c r="C314" i="9"/>
  <c r="O313" i="9"/>
  <c r="M313" i="9"/>
  <c r="F313" i="9"/>
  <c r="E313" i="9"/>
  <c r="D313" i="9"/>
  <c r="C313" i="9"/>
  <c r="O312" i="9"/>
  <c r="M312" i="9"/>
  <c r="F312" i="9"/>
  <c r="E312" i="9"/>
  <c r="D312" i="9"/>
  <c r="C312" i="9"/>
  <c r="O311" i="9"/>
  <c r="M311" i="9"/>
  <c r="F311" i="9"/>
  <c r="E311" i="9"/>
  <c r="D311" i="9"/>
  <c r="C311" i="9"/>
  <c r="O310" i="9"/>
  <c r="M310" i="9"/>
  <c r="F310" i="9"/>
  <c r="E310" i="9"/>
  <c r="D310" i="9"/>
  <c r="C310" i="9"/>
  <c r="O309" i="9"/>
  <c r="M309" i="9"/>
  <c r="F309" i="9"/>
  <c r="E309" i="9"/>
  <c r="D309" i="9"/>
  <c r="C309" i="9"/>
  <c r="O308" i="9"/>
  <c r="M308" i="9"/>
  <c r="F308" i="9"/>
  <c r="E308" i="9"/>
  <c r="D308" i="9"/>
  <c r="C308" i="9"/>
  <c r="O307" i="9"/>
  <c r="M307" i="9"/>
  <c r="F307" i="9"/>
  <c r="E307" i="9"/>
  <c r="D307" i="9"/>
  <c r="C307" i="9"/>
  <c r="O306" i="9"/>
  <c r="M306" i="9"/>
  <c r="F306" i="9"/>
  <c r="E306" i="9"/>
  <c r="D306" i="9"/>
  <c r="C306" i="9"/>
  <c r="O305" i="9"/>
  <c r="M305" i="9"/>
  <c r="F305" i="9"/>
  <c r="E305" i="9"/>
  <c r="D305" i="9"/>
  <c r="C305" i="9"/>
  <c r="O304" i="9"/>
  <c r="M304" i="9"/>
  <c r="F304" i="9"/>
  <c r="E304" i="9"/>
  <c r="D304" i="9"/>
  <c r="C304" i="9"/>
  <c r="O303" i="9"/>
  <c r="M303" i="9"/>
  <c r="F303" i="9"/>
  <c r="E303" i="9"/>
  <c r="D303" i="9"/>
  <c r="C303" i="9"/>
  <c r="O302" i="9"/>
  <c r="M302" i="9"/>
  <c r="F302" i="9"/>
  <c r="E302" i="9"/>
  <c r="D302" i="9"/>
  <c r="C302" i="9"/>
  <c r="O301" i="9"/>
  <c r="M301" i="9"/>
  <c r="F301" i="9"/>
  <c r="E301" i="9"/>
  <c r="D301" i="9"/>
  <c r="C301" i="9"/>
  <c r="O300" i="9"/>
  <c r="M300" i="9"/>
  <c r="F300" i="9"/>
  <c r="E300" i="9"/>
  <c r="D300" i="9"/>
  <c r="C300" i="9"/>
  <c r="O299" i="9"/>
  <c r="M299" i="9"/>
  <c r="F299" i="9"/>
  <c r="E299" i="9"/>
  <c r="D299" i="9"/>
  <c r="C299" i="9"/>
  <c r="O298" i="9"/>
  <c r="M298" i="9"/>
  <c r="F298" i="9"/>
  <c r="E298" i="9"/>
  <c r="D298" i="9"/>
  <c r="C298" i="9"/>
  <c r="O297" i="9"/>
  <c r="M297" i="9"/>
  <c r="F297" i="9"/>
  <c r="E297" i="9"/>
  <c r="D297" i="9"/>
  <c r="C297" i="9"/>
  <c r="O296" i="9"/>
  <c r="M296" i="9"/>
  <c r="F296" i="9"/>
  <c r="E296" i="9"/>
  <c r="D296" i="9"/>
  <c r="C296" i="9"/>
  <c r="O295" i="9"/>
  <c r="M295" i="9"/>
  <c r="F295" i="9"/>
  <c r="E295" i="9"/>
  <c r="D295" i="9"/>
  <c r="C295" i="9"/>
  <c r="O294" i="9"/>
  <c r="M294" i="9"/>
  <c r="F294" i="9"/>
  <c r="E294" i="9"/>
  <c r="D294" i="9"/>
  <c r="C294" i="9"/>
  <c r="O293" i="9"/>
  <c r="M293" i="9"/>
  <c r="F293" i="9"/>
  <c r="E293" i="9"/>
  <c r="D293" i="9"/>
  <c r="C293" i="9"/>
  <c r="O292" i="9"/>
  <c r="M292" i="9"/>
  <c r="F292" i="9"/>
  <c r="E292" i="9"/>
  <c r="D292" i="9"/>
  <c r="C292" i="9"/>
  <c r="O291" i="9"/>
  <c r="M291" i="9"/>
  <c r="F291" i="9"/>
  <c r="E291" i="9"/>
  <c r="D291" i="9"/>
  <c r="C291" i="9"/>
  <c r="O290" i="9"/>
  <c r="M290" i="9"/>
  <c r="F290" i="9"/>
  <c r="E290" i="9"/>
  <c r="D290" i="9"/>
  <c r="C290" i="9"/>
  <c r="O289" i="9"/>
  <c r="M289" i="9"/>
  <c r="F289" i="9"/>
  <c r="E289" i="9"/>
  <c r="D289" i="9"/>
  <c r="C289" i="9"/>
  <c r="O288" i="9"/>
  <c r="M288" i="9"/>
  <c r="F288" i="9"/>
  <c r="E288" i="9"/>
  <c r="D288" i="9"/>
  <c r="C288" i="9"/>
  <c r="O287" i="9"/>
  <c r="M287" i="9"/>
  <c r="F287" i="9"/>
  <c r="E287" i="9"/>
  <c r="D287" i="9"/>
  <c r="C287" i="9"/>
  <c r="O286" i="9"/>
  <c r="M286" i="9"/>
  <c r="F286" i="9"/>
  <c r="E286" i="9"/>
  <c r="D286" i="9"/>
  <c r="C286" i="9"/>
  <c r="O285" i="9"/>
  <c r="M285" i="9"/>
  <c r="F285" i="9"/>
  <c r="E285" i="9"/>
  <c r="D285" i="9"/>
  <c r="C285" i="9"/>
  <c r="O284" i="9"/>
  <c r="M284" i="9"/>
  <c r="F284" i="9"/>
  <c r="E284" i="9"/>
  <c r="D284" i="9"/>
  <c r="C284" i="9"/>
  <c r="O283" i="9"/>
  <c r="M283" i="9"/>
  <c r="F283" i="9"/>
  <c r="E283" i="9"/>
  <c r="D283" i="9"/>
  <c r="C283" i="9"/>
  <c r="O282" i="9"/>
  <c r="M282" i="9"/>
  <c r="F282" i="9"/>
  <c r="E282" i="9"/>
  <c r="D282" i="9"/>
  <c r="C282" i="9"/>
  <c r="O281" i="9"/>
  <c r="M281" i="9"/>
  <c r="F281" i="9"/>
  <c r="E281" i="9"/>
  <c r="D281" i="9"/>
  <c r="C281" i="9"/>
  <c r="O280" i="9"/>
  <c r="M280" i="9"/>
  <c r="F280" i="9"/>
  <c r="E280" i="9"/>
  <c r="D280" i="9"/>
  <c r="C280" i="9"/>
  <c r="O279" i="9"/>
  <c r="M279" i="9"/>
  <c r="F279" i="9"/>
  <c r="E279" i="9"/>
  <c r="D279" i="9"/>
  <c r="C279" i="9"/>
  <c r="O278" i="9"/>
  <c r="M278" i="9"/>
  <c r="F278" i="9"/>
  <c r="E278" i="9"/>
  <c r="D278" i="9"/>
  <c r="C278" i="9"/>
  <c r="O277" i="9"/>
  <c r="M277" i="9"/>
  <c r="F277" i="9"/>
  <c r="E277" i="9"/>
  <c r="D277" i="9"/>
  <c r="C277" i="9"/>
  <c r="O276" i="9"/>
  <c r="M276" i="9"/>
  <c r="F276" i="9"/>
  <c r="E276" i="9"/>
  <c r="D276" i="9"/>
  <c r="C276" i="9"/>
  <c r="O275" i="9"/>
  <c r="M275" i="9"/>
  <c r="F275" i="9"/>
  <c r="E275" i="9"/>
  <c r="D275" i="9"/>
  <c r="C275" i="9"/>
  <c r="O274" i="9"/>
  <c r="M274" i="9"/>
  <c r="F274" i="9"/>
  <c r="E274" i="9"/>
  <c r="D274" i="9"/>
  <c r="C274" i="9"/>
  <c r="O273" i="9"/>
  <c r="M273" i="9"/>
  <c r="F273" i="9"/>
  <c r="E273" i="9"/>
  <c r="D273" i="9"/>
  <c r="C273" i="9"/>
  <c r="O272" i="9"/>
  <c r="M272" i="9"/>
  <c r="F272" i="9"/>
  <c r="E272" i="9"/>
  <c r="D272" i="9"/>
  <c r="C272" i="9"/>
  <c r="O271" i="9"/>
  <c r="M271" i="9"/>
  <c r="F271" i="9"/>
  <c r="E271" i="9"/>
  <c r="D271" i="9"/>
  <c r="C271" i="9"/>
  <c r="O270" i="9"/>
  <c r="M270" i="9"/>
  <c r="F270" i="9"/>
  <c r="E270" i="9"/>
  <c r="D270" i="9"/>
  <c r="C270" i="9"/>
  <c r="O269" i="9"/>
  <c r="M269" i="9"/>
  <c r="F269" i="9"/>
  <c r="E269" i="9"/>
  <c r="D269" i="9"/>
  <c r="C269" i="9"/>
  <c r="O268" i="9"/>
  <c r="M268" i="9"/>
  <c r="F268" i="9"/>
  <c r="E268" i="9"/>
  <c r="D268" i="9"/>
  <c r="C268" i="9"/>
  <c r="O267" i="9"/>
  <c r="M267" i="9"/>
  <c r="F267" i="9"/>
  <c r="E267" i="9"/>
  <c r="D267" i="9"/>
  <c r="C267" i="9"/>
  <c r="O266" i="9"/>
  <c r="M266" i="9"/>
  <c r="F266" i="9"/>
  <c r="E266" i="9"/>
  <c r="D266" i="9"/>
  <c r="C266" i="9"/>
  <c r="O265" i="9"/>
  <c r="M265" i="9"/>
  <c r="F265" i="9"/>
  <c r="E265" i="9"/>
  <c r="D265" i="9"/>
  <c r="C265" i="9"/>
  <c r="O264" i="9"/>
  <c r="M264" i="9"/>
  <c r="F264" i="9"/>
  <c r="E264" i="9"/>
  <c r="D264" i="9"/>
  <c r="C264" i="9"/>
  <c r="O263" i="9"/>
  <c r="M263" i="9"/>
  <c r="F263" i="9"/>
  <c r="E263" i="9"/>
  <c r="D263" i="9"/>
  <c r="C263" i="9"/>
  <c r="O262" i="9"/>
  <c r="M262" i="9"/>
  <c r="F262" i="9"/>
  <c r="E262" i="9"/>
  <c r="D262" i="9"/>
  <c r="C262" i="9"/>
  <c r="O261" i="9"/>
  <c r="M261" i="9"/>
  <c r="F261" i="9"/>
  <c r="E261" i="9"/>
  <c r="D261" i="9"/>
  <c r="C261" i="9"/>
  <c r="O260" i="9"/>
  <c r="M260" i="9"/>
  <c r="F260" i="9"/>
  <c r="E260" i="9"/>
  <c r="D260" i="9"/>
  <c r="C260" i="9"/>
  <c r="O259" i="9"/>
  <c r="M259" i="9"/>
  <c r="F259" i="9"/>
  <c r="E259" i="9"/>
  <c r="D259" i="9"/>
  <c r="C259" i="9"/>
  <c r="O258" i="9"/>
  <c r="M258" i="9"/>
  <c r="F258" i="9"/>
  <c r="E258" i="9"/>
  <c r="D258" i="9"/>
  <c r="C258" i="9"/>
  <c r="O257" i="9"/>
  <c r="M257" i="9"/>
  <c r="F257" i="9"/>
  <c r="E257" i="9"/>
  <c r="D257" i="9"/>
  <c r="C257" i="9"/>
  <c r="O256" i="9"/>
  <c r="M256" i="9"/>
  <c r="F256" i="9"/>
  <c r="E256" i="9"/>
  <c r="D256" i="9"/>
  <c r="C256" i="9"/>
  <c r="O255" i="9"/>
  <c r="M255" i="9"/>
  <c r="F255" i="9"/>
  <c r="E255" i="9"/>
  <c r="D255" i="9"/>
  <c r="C255" i="9"/>
  <c r="O254" i="9"/>
  <c r="M254" i="9"/>
  <c r="F254" i="9"/>
  <c r="E254" i="9"/>
  <c r="D254" i="9"/>
  <c r="C254" i="9"/>
  <c r="O253" i="9"/>
  <c r="M253" i="9"/>
  <c r="F253" i="9"/>
  <c r="E253" i="9"/>
  <c r="D253" i="9"/>
  <c r="C253" i="9"/>
  <c r="O252" i="9"/>
  <c r="M252" i="9"/>
  <c r="F252" i="9"/>
  <c r="E252" i="9"/>
  <c r="D252" i="9"/>
  <c r="C252" i="9"/>
  <c r="O251" i="9"/>
  <c r="M251" i="9"/>
  <c r="F251" i="9"/>
  <c r="E251" i="9"/>
  <c r="D251" i="9"/>
  <c r="C251" i="9"/>
  <c r="O250" i="9"/>
  <c r="M250" i="9"/>
  <c r="F250" i="9"/>
  <c r="E250" i="9"/>
  <c r="D250" i="9"/>
  <c r="C250" i="9"/>
  <c r="O249" i="9"/>
  <c r="M249" i="9"/>
  <c r="F249" i="9"/>
  <c r="E249" i="9"/>
  <c r="D249" i="9"/>
  <c r="C249" i="9"/>
  <c r="O248" i="9"/>
  <c r="M248" i="9"/>
  <c r="F248" i="9"/>
  <c r="E248" i="9"/>
  <c r="D248" i="9"/>
  <c r="C248" i="9"/>
  <c r="O247" i="9"/>
  <c r="M247" i="9"/>
  <c r="F247" i="9"/>
  <c r="E247" i="9"/>
  <c r="D247" i="9"/>
  <c r="C247" i="9"/>
  <c r="O246" i="9"/>
  <c r="M246" i="9"/>
  <c r="F246" i="9"/>
  <c r="E246" i="9"/>
  <c r="D246" i="9"/>
  <c r="C246" i="9"/>
  <c r="O245" i="9"/>
  <c r="M245" i="9"/>
  <c r="F245" i="9"/>
  <c r="E245" i="9"/>
  <c r="D245" i="9"/>
  <c r="C245" i="9"/>
  <c r="O244" i="9"/>
  <c r="M244" i="9"/>
  <c r="F244" i="9"/>
  <c r="E244" i="9"/>
  <c r="D244" i="9"/>
  <c r="C244" i="9"/>
  <c r="O243" i="9"/>
  <c r="M243" i="9"/>
  <c r="F243" i="9"/>
  <c r="E243" i="9"/>
  <c r="D243" i="9"/>
  <c r="C243" i="9"/>
  <c r="O242" i="9"/>
  <c r="M242" i="9"/>
  <c r="F242" i="9"/>
  <c r="E242" i="9"/>
  <c r="D242" i="9"/>
  <c r="C242" i="9"/>
  <c r="O241" i="9"/>
  <c r="M241" i="9"/>
  <c r="F241" i="9"/>
  <c r="E241" i="9"/>
  <c r="D241" i="9"/>
  <c r="C241" i="9"/>
  <c r="O240" i="9"/>
  <c r="M240" i="9"/>
  <c r="F240" i="9"/>
  <c r="E240" i="9"/>
  <c r="D240" i="9"/>
  <c r="C240" i="9"/>
  <c r="O239" i="9"/>
  <c r="M239" i="9"/>
  <c r="F239" i="9"/>
  <c r="E239" i="9"/>
  <c r="D239" i="9"/>
  <c r="C239" i="9"/>
  <c r="O238" i="9"/>
  <c r="M238" i="9"/>
  <c r="F238" i="9"/>
  <c r="E238" i="9"/>
  <c r="D238" i="9"/>
  <c r="C238" i="9"/>
  <c r="O237" i="9"/>
  <c r="M237" i="9"/>
  <c r="F237" i="9"/>
  <c r="E237" i="9"/>
  <c r="D237" i="9"/>
  <c r="C237" i="9"/>
  <c r="O236" i="9"/>
  <c r="M236" i="9"/>
  <c r="F236" i="9"/>
  <c r="E236" i="9"/>
  <c r="D236" i="9"/>
  <c r="C236" i="9"/>
  <c r="O235" i="9"/>
  <c r="M235" i="9"/>
  <c r="F235" i="9"/>
  <c r="E235" i="9"/>
  <c r="D235" i="9"/>
  <c r="C235" i="9"/>
  <c r="O234" i="9"/>
  <c r="M234" i="9"/>
  <c r="F234" i="9"/>
  <c r="E234" i="9"/>
  <c r="D234" i="9"/>
  <c r="C234" i="9"/>
  <c r="O233" i="9"/>
  <c r="M233" i="9"/>
  <c r="F233" i="9"/>
  <c r="E233" i="9"/>
  <c r="D233" i="9"/>
  <c r="C233" i="9"/>
  <c r="O232" i="9"/>
  <c r="M232" i="9"/>
  <c r="F232" i="9"/>
  <c r="E232" i="9"/>
  <c r="D232" i="9"/>
  <c r="C232" i="9"/>
  <c r="O231" i="9"/>
  <c r="M231" i="9"/>
  <c r="F231" i="9"/>
  <c r="E231" i="9"/>
  <c r="D231" i="9"/>
  <c r="C231" i="9"/>
  <c r="O230" i="9"/>
  <c r="M230" i="9"/>
  <c r="F230" i="9"/>
  <c r="E230" i="9"/>
  <c r="D230" i="9"/>
  <c r="C230" i="9"/>
  <c r="O229" i="9"/>
  <c r="M229" i="9"/>
  <c r="F229" i="9"/>
  <c r="E229" i="9"/>
  <c r="D229" i="9"/>
  <c r="C229" i="9"/>
  <c r="O228" i="9"/>
  <c r="M228" i="9"/>
  <c r="F228" i="9"/>
  <c r="E228" i="9"/>
  <c r="D228" i="9"/>
  <c r="C228" i="9"/>
  <c r="O227" i="9"/>
  <c r="M227" i="9"/>
  <c r="F227" i="9"/>
  <c r="E227" i="9"/>
  <c r="D227" i="9"/>
  <c r="C227" i="9"/>
  <c r="O226" i="9"/>
  <c r="M226" i="9"/>
  <c r="F226" i="9"/>
  <c r="E226" i="9"/>
  <c r="D226" i="9"/>
  <c r="C226" i="9"/>
  <c r="O225" i="9"/>
  <c r="M225" i="9"/>
  <c r="F225" i="9"/>
  <c r="E225" i="9"/>
  <c r="D225" i="9"/>
  <c r="C225" i="9"/>
  <c r="O224" i="9"/>
  <c r="M224" i="9"/>
  <c r="F224" i="9"/>
  <c r="E224" i="9"/>
  <c r="D224" i="9"/>
  <c r="C224" i="9"/>
  <c r="O223" i="9"/>
  <c r="M223" i="9"/>
  <c r="F223" i="9"/>
  <c r="E223" i="9"/>
  <c r="D223" i="9"/>
  <c r="C223" i="9"/>
  <c r="O222" i="9"/>
  <c r="M222" i="9"/>
  <c r="F222" i="9"/>
  <c r="E222" i="9"/>
  <c r="D222" i="9"/>
  <c r="C222" i="9"/>
  <c r="O221" i="9"/>
  <c r="M221" i="9"/>
  <c r="F221" i="9"/>
  <c r="E221" i="9"/>
  <c r="D221" i="9"/>
  <c r="C221" i="9"/>
  <c r="O220" i="9"/>
  <c r="M220" i="9"/>
  <c r="F220" i="9"/>
  <c r="E220" i="9"/>
  <c r="D220" i="9"/>
  <c r="C220" i="9"/>
  <c r="O219" i="9"/>
  <c r="M219" i="9"/>
  <c r="F219" i="9"/>
  <c r="E219" i="9"/>
  <c r="D219" i="9"/>
  <c r="C219" i="9"/>
  <c r="O218" i="9"/>
  <c r="M218" i="9"/>
  <c r="F218" i="9"/>
  <c r="E218" i="9"/>
  <c r="D218" i="9"/>
  <c r="C218" i="9"/>
  <c r="O217" i="9"/>
  <c r="M217" i="9"/>
  <c r="F217" i="9"/>
  <c r="E217" i="9"/>
  <c r="D217" i="9"/>
  <c r="C217" i="9"/>
  <c r="O216" i="9"/>
  <c r="M216" i="9"/>
  <c r="F216" i="9"/>
  <c r="E216" i="9"/>
  <c r="D216" i="9"/>
  <c r="C216" i="9"/>
  <c r="O215" i="9"/>
  <c r="M215" i="9"/>
  <c r="F215" i="9"/>
  <c r="E215" i="9"/>
  <c r="D215" i="9"/>
  <c r="C215" i="9"/>
  <c r="O214" i="9"/>
  <c r="M214" i="9"/>
  <c r="F214" i="9"/>
  <c r="E214" i="9"/>
  <c r="D214" i="9"/>
  <c r="C214" i="9"/>
  <c r="O213" i="9"/>
  <c r="M213" i="9"/>
  <c r="F213" i="9"/>
  <c r="E213" i="9"/>
  <c r="D213" i="9"/>
  <c r="C213" i="9"/>
  <c r="O212" i="9"/>
  <c r="M212" i="9"/>
  <c r="F212" i="9"/>
  <c r="E212" i="9"/>
  <c r="D212" i="9"/>
  <c r="C212" i="9"/>
  <c r="O211" i="9"/>
  <c r="M211" i="9"/>
  <c r="F211" i="9"/>
  <c r="E211" i="9"/>
  <c r="D211" i="9"/>
  <c r="C211" i="9"/>
  <c r="O210" i="9"/>
  <c r="M210" i="9"/>
  <c r="F210" i="9"/>
  <c r="E210" i="9"/>
  <c r="D210" i="9"/>
  <c r="C210" i="9"/>
  <c r="O209" i="9"/>
  <c r="M209" i="9"/>
  <c r="F209" i="9"/>
  <c r="E209" i="9"/>
  <c r="D209" i="9"/>
  <c r="C209" i="9"/>
  <c r="O208" i="9"/>
  <c r="M208" i="9"/>
  <c r="F208" i="9"/>
  <c r="E208" i="9"/>
  <c r="D208" i="9"/>
  <c r="C208" i="9"/>
  <c r="O207" i="9"/>
  <c r="M207" i="9"/>
  <c r="F207" i="9"/>
  <c r="E207" i="9"/>
  <c r="D207" i="9"/>
  <c r="C207" i="9"/>
  <c r="O206" i="9"/>
  <c r="M206" i="9"/>
  <c r="F206" i="9"/>
  <c r="E206" i="9"/>
  <c r="D206" i="9"/>
  <c r="O205" i="9"/>
  <c r="M205" i="9"/>
  <c r="F205" i="9"/>
  <c r="E205" i="9"/>
  <c r="D205" i="9"/>
  <c r="O204" i="9"/>
  <c r="M204" i="9"/>
  <c r="F204" i="9"/>
  <c r="E204" i="9"/>
  <c r="D204" i="9"/>
  <c r="O203" i="9"/>
  <c r="M203" i="9"/>
  <c r="F203" i="9"/>
  <c r="E203" i="9"/>
  <c r="D203" i="9"/>
  <c r="O202" i="9"/>
  <c r="M202" i="9"/>
  <c r="F202" i="9"/>
  <c r="E202" i="9"/>
  <c r="D202" i="9"/>
  <c r="O201" i="9"/>
  <c r="M201" i="9"/>
  <c r="F201" i="9"/>
  <c r="E201" i="9"/>
  <c r="D201" i="9"/>
  <c r="O200" i="9"/>
  <c r="M200" i="9"/>
  <c r="F200" i="9"/>
  <c r="E200" i="9"/>
  <c r="D200" i="9"/>
  <c r="O199" i="9"/>
  <c r="M199" i="9"/>
  <c r="F199" i="9"/>
  <c r="E199" i="9"/>
  <c r="D199" i="9"/>
  <c r="O198" i="9"/>
  <c r="M198" i="9"/>
  <c r="F198" i="9"/>
  <c r="E198" i="9"/>
  <c r="D198" i="9"/>
  <c r="O197" i="9"/>
  <c r="M197" i="9"/>
  <c r="F197" i="9"/>
  <c r="E197" i="9"/>
  <c r="D197" i="9"/>
  <c r="O196" i="9"/>
  <c r="M196" i="9"/>
  <c r="F196" i="9"/>
  <c r="E196" i="9"/>
  <c r="D196" i="9"/>
  <c r="O195" i="9"/>
  <c r="M195" i="9"/>
  <c r="F195" i="9"/>
  <c r="E195" i="9"/>
  <c r="D195" i="9"/>
  <c r="O194" i="9"/>
  <c r="M194" i="9"/>
  <c r="F194" i="9"/>
  <c r="E194" i="9"/>
  <c r="D194" i="9"/>
  <c r="O193" i="9"/>
  <c r="M193" i="9"/>
  <c r="F193" i="9"/>
  <c r="E193" i="9"/>
  <c r="D193" i="9"/>
  <c r="O192" i="9"/>
  <c r="M192" i="9"/>
  <c r="F192" i="9"/>
  <c r="E192" i="9"/>
  <c r="D192" i="9"/>
  <c r="O191" i="9"/>
  <c r="M191" i="9"/>
  <c r="F191" i="9"/>
  <c r="E191" i="9"/>
  <c r="D191" i="9"/>
  <c r="O190" i="9"/>
  <c r="M190" i="9"/>
  <c r="F190" i="9"/>
  <c r="E190" i="9"/>
  <c r="D190" i="9"/>
  <c r="O189" i="9"/>
  <c r="M189" i="9"/>
  <c r="F189" i="9"/>
  <c r="E189" i="9"/>
  <c r="D189" i="9"/>
  <c r="O188" i="9"/>
  <c r="M188" i="9"/>
  <c r="F188" i="9"/>
  <c r="E188" i="9"/>
  <c r="D188" i="9"/>
  <c r="O187" i="9"/>
  <c r="M187" i="9"/>
  <c r="F187" i="9"/>
  <c r="E187" i="9"/>
  <c r="D187" i="9"/>
  <c r="O186" i="9"/>
  <c r="M186" i="9"/>
  <c r="F186" i="9"/>
  <c r="E186" i="9"/>
  <c r="D186" i="9"/>
  <c r="O185" i="9"/>
  <c r="M185" i="9"/>
  <c r="F185" i="9"/>
  <c r="E185" i="9"/>
  <c r="D185" i="9"/>
  <c r="O184" i="9"/>
  <c r="M184" i="9"/>
  <c r="F184" i="9"/>
  <c r="E184" i="9"/>
  <c r="D184" i="9"/>
  <c r="O183" i="9"/>
  <c r="M183" i="9"/>
  <c r="F183" i="9"/>
  <c r="E183" i="9"/>
  <c r="D183" i="9"/>
  <c r="O182" i="9"/>
  <c r="M182" i="9"/>
  <c r="F182" i="9"/>
  <c r="E182" i="9"/>
  <c r="D182" i="9"/>
  <c r="O181" i="9"/>
  <c r="M181" i="9"/>
  <c r="F181" i="9"/>
  <c r="E181" i="9"/>
  <c r="D181" i="9"/>
  <c r="C181" i="9"/>
  <c r="O180" i="9"/>
  <c r="M180" i="9"/>
  <c r="F180" i="9"/>
  <c r="E180" i="9"/>
  <c r="D180" i="9"/>
  <c r="C180" i="9"/>
  <c r="O179" i="9"/>
  <c r="M179" i="9"/>
  <c r="F179" i="9"/>
  <c r="E179" i="9"/>
  <c r="D179" i="9"/>
  <c r="C179" i="9"/>
  <c r="O178" i="9"/>
  <c r="M178" i="9"/>
  <c r="F178" i="9"/>
  <c r="E178" i="9"/>
  <c r="D178" i="9"/>
  <c r="C178" i="9"/>
  <c r="O177" i="9"/>
  <c r="M177" i="9"/>
  <c r="F177" i="9"/>
  <c r="E177" i="9"/>
  <c r="D177" i="9"/>
  <c r="C177" i="9"/>
  <c r="O176" i="9"/>
  <c r="M176" i="9"/>
  <c r="F176" i="9"/>
  <c r="E176" i="9"/>
  <c r="D176" i="9"/>
  <c r="C176" i="9"/>
  <c r="O175" i="9"/>
  <c r="M175" i="9"/>
  <c r="F175" i="9"/>
  <c r="E175" i="9"/>
  <c r="D175" i="9"/>
  <c r="C175" i="9"/>
  <c r="O174" i="9"/>
  <c r="M174" i="9"/>
  <c r="F174" i="9"/>
  <c r="E174" i="9"/>
  <c r="D174" i="9"/>
  <c r="C174" i="9"/>
  <c r="O173" i="9"/>
  <c r="M173" i="9"/>
  <c r="F173" i="9"/>
  <c r="E173" i="9"/>
  <c r="D173" i="9"/>
  <c r="C173" i="9"/>
  <c r="O172" i="9"/>
  <c r="M172" i="9"/>
  <c r="F172" i="9"/>
  <c r="E172" i="9"/>
  <c r="D172" i="9"/>
  <c r="C172" i="9"/>
  <c r="O171" i="9"/>
  <c r="M171" i="9"/>
  <c r="F171" i="9"/>
  <c r="E171" i="9"/>
  <c r="D171" i="9"/>
  <c r="C171" i="9"/>
  <c r="O170" i="9"/>
  <c r="M170" i="9"/>
  <c r="F170" i="9"/>
  <c r="E170" i="9"/>
  <c r="D170" i="9"/>
  <c r="C170" i="9"/>
  <c r="O169" i="9"/>
  <c r="M169" i="9"/>
  <c r="F169" i="9"/>
  <c r="E169" i="9"/>
  <c r="D169" i="9"/>
  <c r="C169" i="9"/>
  <c r="O168" i="9"/>
  <c r="M168" i="9"/>
  <c r="F168" i="9"/>
  <c r="E168" i="9"/>
  <c r="D168" i="9"/>
  <c r="C168" i="9"/>
  <c r="O167" i="9"/>
  <c r="M167" i="9"/>
  <c r="F167" i="9"/>
  <c r="E167" i="9"/>
  <c r="D167" i="9"/>
  <c r="C167" i="9"/>
  <c r="O166" i="9"/>
  <c r="M166" i="9"/>
  <c r="F166" i="9"/>
  <c r="E166" i="9"/>
  <c r="D166" i="9"/>
  <c r="C166" i="9"/>
  <c r="O165" i="9"/>
  <c r="M165" i="9"/>
  <c r="F165" i="9"/>
  <c r="E165" i="9"/>
  <c r="D165" i="9"/>
  <c r="C165" i="9"/>
  <c r="O164" i="9"/>
  <c r="M164" i="9"/>
  <c r="F164" i="9"/>
  <c r="E164" i="9"/>
  <c r="D164" i="9"/>
  <c r="C164" i="9"/>
  <c r="O163" i="9"/>
  <c r="M163" i="9"/>
  <c r="K163" i="9"/>
  <c r="F163" i="9"/>
  <c r="E163" i="9"/>
  <c r="D163" i="9"/>
  <c r="C163" i="9"/>
  <c r="O162" i="9"/>
  <c r="M162" i="9"/>
  <c r="F162" i="9"/>
  <c r="E162" i="9"/>
  <c r="D162" i="9"/>
  <c r="C162" i="9"/>
  <c r="O161" i="9"/>
  <c r="M161" i="9"/>
  <c r="K161" i="9"/>
  <c r="F161" i="9"/>
  <c r="E161" i="9"/>
  <c r="D161" i="9"/>
  <c r="C161" i="9"/>
  <c r="O160" i="9"/>
  <c r="M160" i="9"/>
  <c r="F160" i="9"/>
  <c r="E160" i="9"/>
  <c r="D160" i="9"/>
  <c r="C160" i="9"/>
  <c r="O159" i="9"/>
  <c r="M159" i="9"/>
  <c r="F159" i="9"/>
  <c r="E159" i="9"/>
  <c r="D159" i="9"/>
  <c r="C159" i="9"/>
  <c r="O158" i="9"/>
  <c r="M158" i="9"/>
  <c r="K158" i="9"/>
  <c r="F158" i="9"/>
  <c r="E158" i="9"/>
  <c r="D158" i="9"/>
  <c r="C158" i="9"/>
  <c r="K159" i="9"/>
  <c r="K169" i="9"/>
  <c r="K167" i="9"/>
  <c r="K176" i="9"/>
  <c r="K182" i="9"/>
  <c r="K192" i="9"/>
  <c r="K187" i="9"/>
  <c r="K162" i="9"/>
  <c r="K170" i="9"/>
  <c r="K177" i="9"/>
  <c r="K178" i="9"/>
  <c r="K171" i="9"/>
  <c r="K179" i="9"/>
  <c r="K164" i="9"/>
  <c r="K165" i="9"/>
  <c r="K172" i="9"/>
  <c r="K180" i="9"/>
  <c r="K166" i="9"/>
  <c r="K173" i="9"/>
  <c r="K181" i="9"/>
  <c r="K174" i="9"/>
  <c r="K160" i="9"/>
  <c r="K168" i="9"/>
  <c r="K175" i="9"/>
  <c r="K194" i="9"/>
  <c r="K184" i="9"/>
  <c r="K188" i="9"/>
  <c r="K185" i="9"/>
  <c r="J1" i="15"/>
  <c r="A91" i="16" s="1"/>
  <c r="C146" i="9"/>
  <c r="C147" i="9"/>
  <c r="C148" i="9"/>
  <c r="C149" i="9"/>
  <c r="C150" i="9"/>
  <c r="C151" i="9"/>
  <c r="C152" i="9"/>
  <c r="C153" i="9"/>
  <c r="C154" i="9"/>
  <c r="C155" i="9"/>
  <c r="C156" i="9"/>
  <c r="C157" i="9"/>
  <c r="N32" i="18"/>
  <c r="N31" i="18"/>
  <c r="N30" i="18"/>
  <c r="N29" i="18"/>
  <c r="N28" i="18"/>
  <c r="N27" i="18"/>
  <c r="N26" i="18"/>
  <c r="N25" i="18"/>
  <c r="N24" i="18"/>
  <c r="D34" i="2"/>
  <c r="D34" i="13" s="1"/>
  <c r="Y42" i="23"/>
  <c r="Y39" i="23"/>
  <c r="Y36" i="23"/>
  <c r="Y33" i="23"/>
  <c r="Y30" i="23"/>
  <c r="Y27" i="23"/>
  <c r="Y24" i="23"/>
  <c r="Y21" i="23"/>
  <c r="Y18" i="23"/>
  <c r="Y15" i="23"/>
  <c r="Y12" i="23"/>
  <c r="Y9" i="23"/>
  <c r="T42" i="23"/>
  <c r="T39" i="23"/>
  <c r="T36" i="23"/>
  <c r="T33" i="23"/>
  <c r="T30" i="23"/>
  <c r="T27" i="23"/>
  <c r="T24" i="23"/>
  <c r="T21" i="23"/>
  <c r="T18" i="23"/>
  <c r="T15" i="23"/>
  <c r="T12" i="23"/>
  <c r="T9" i="23"/>
  <c r="O42" i="23"/>
  <c r="O39" i="23"/>
  <c r="O36" i="23"/>
  <c r="O33" i="23"/>
  <c r="O30" i="23"/>
  <c r="O27" i="23"/>
  <c r="O24" i="23"/>
  <c r="O21" i="23"/>
  <c r="O18" i="23"/>
  <c r="O15" i="23"/>
  <c r="O12" i="23"/>
  <c r="O9" i="23"/>
  <c r="J42" i="23"/>
  <c r="J39" i="23"/>
  <c r="J36" i="23"/>
  <c r="J33" i="23"/>
  <c r="J30" i="23"/>
  <c r="J27" i="23"/>
  <c r="J24" i="23"/>
  <c r="J21" i="23"/>
  <c r="J18" i="23"/>
  <c r="J15" i="23"/>
  <c r="J12" i="23"/>
  <c r="J9" i="23"/>
  <c r="E9" i="23"/>
  <c r="N40" i="2"/>
  <c r="C57" i="20" s="1"/>
  <c r="F134" i="9"/>
  <c r="E134" i="9"/>
  <c r="F146" i="9"/>
  <c r="E146" i="9"/>
  <c r="C134" i="9"/>
  <c r="AD40" i="23"/>
  <c r="AD41" i="23"/>
  <c r="AD37" i="23"/>
  <c r="AD38" i="23"/>
  <c r="AD34" i="23"/>
  <c r="AD35" i="23"/>
  <c r="AD31" i="23"/>
  <c r="AD32" i="23"/>
  <c r="AD28" i="23"/>
  <c r="AD29" i="23"/>
  <c r="AD25" i="23"/>
  <c r="AD26" i="23"/>
  <c r="AD22" i="23"/>
  <c r="AD23" i="23"/>
  <c r="AD19" i="23"/>
  <c r="AD20" i="23"/>
  <c r="AD16" i="23"/>
  <c r="AD17" i="23"/>
  <c r="AD13" i="23"/>
  <c r="AD14" i="23"/>
  <c r="AD10" i="23"/>
  <c r="AD11" i="23"/>
  <c r="AD7" i="23"/>
  <c r="AD8" i="23"/>
  <c r="N50" i="4"/>
  <c r="O48" i="18" s="1"/>
  <c r="K3" i="4"/>
  <c r="A78" i="4" s="1"/>
  <c r="L2" i="4"/>
  <c r="F77" i="4" s="1"/>
  <c r="N50" i="5"/>
  <c r="P48" i="18" s="1"/>
  <c r="K3" i="5"/>
  <c r="A78" i="5" s="1"/>
  <c r="L2" i="5"/>
  <c r="F77" i="5" s="1"/>
  <c r="N50" i="13"/>
  <c r="Q48" i="18" s="1"/>
  <c r="K3" i="13"/>
  <c r="A78" i="13" s="1"/>
  <c r="L2" i="13"/>
  <c r="F77" i="13" s="1"/>
  <c r="N50" i="14"/>
  <c r="R48" i="18" s="1"/>
  <c r="K3" i="14"/>
  <c r="A78" i="14" s="1"/>
  <c r="L2" i="14"/>
  <c r="F77" i="14" s="1"/>
  <c r="N33" i="2"/>
  <c r="C43" i="20" s="1"/>
  <c r="N34" i="2"/>
  <c r="C45" i="20" s="1"/>
  <c r="N35" i="2"/>
  <c r="C47" i="20" s="1"/>
  <c r="N36" i="2"/>
  <c r="C49" i="20" s="1"/>
  <c r="N37" i="2"/>
  <c r="C51" i="20" s="1"/>
  <c r="N39" i="2"/>
  <c r="C55" i="20" s="1"/>
  <c r="N50" i="2"/>
  <c r="N48" i="18" s="1"/>
  <c r="A1" i="5"/>
  <c r="H32" i="2"/>
  <c r="H33" i="2"/>
  <c r="K39" i="2"/>
  <c r="K50" i="4"/>
  <c r="C62" i="16" s="1"/>
  <c r="K50" i="5"/>
  <c r="D62" i="16" s="1"/>
  <c r="K50" i="13"/>
  <c r="E63" i="16" s="1"/>
  <c r="K50" i="14"/>
  <c r="F63" i="16" s="1"/>
  <c r="K50" i="2"/>
  <c r="I48" i="18" s="1"/>
  <c r="K62" i="2"/>
  <c r="B76" i="16" s="1"/>
  <c r="E44" i="23"/>
  <c r="K34" i="2"/>
  <c r="B44" i="16" s="1"/>
  <c r="K36" i="2"/>
  <c r="B49" i="20" s="1"/>
  <c r="K37" i="2"/>
  <c r="B50" i="16" s="1"/>
  <c r="K7" i="4"/>
  <c r="K7" i="5"/>
  <c r="K7" i="13"/>
  <c r="K7" i="14"/>
  <c r="G9" i="23"/>
  <c r="N62" i="2" s="1"/>
  <c r="C74" i="20" s="1"/>
  <c r="G12" i="23"/>
  <c r="N63" i="2" s="1"/>
  <c r="C75" i="20" s="1"/>
  <c r="G15" i="23"/>
  <c r="N64" i="2" s="1"/>
  <c r="G18" i="23"/>
  <c r="N65" i="2"/>
  <c r="C77" i="20" s="1"/>
  <c r="G21" i="23"/>
  <c r="N66" i="2"/>
  <c r="C78" i="20" s="1"/>
  <c r="G24" i="23"/>
  <c r="N67" i="2" s="1"/>
  <c r="C79" i="20" s="1"/>
  <c r="G27" i="23"/>
  <c r="N68" i="2" s="1"/>
  <c r="C80" i="20" s="1"/>
  <c r="G30" i="23"/>
  <c r="N69" i="2" s="1"/>
  <c r="C81" i="20" s="1"/>
  <c r="G33" i="23"/>
  <c r="N70" i="2" s="1"/>
  <c r="C82" i="20" s="1"/>
  <c r="G36" i="23"/>
  <c r="N71" i="2" s="1"/>
  <c r="C83" i="20" s="1"/>
  <c r="G39" i="23"/>
  <c r="N72" i="2" s="1"/>
  <c r="C84" i="20" s="1"/>
  <c r="G42" i="23"/>
  <c r="N73" i="2" s="1"/>
  <c r="C85" i="20" s="1"/>
  <c r="G44" i="23"/>
  <c r="G45" i="23"/>
  <c r="Q88" i="14"/>
  <c r="O84" i="6"/>
  <c r="Q88" i="13"/>
  <c r="Q88" i="5"/>
  <c r="Q88" i="4"/>
  <c r="Q88" i="2"/>
  <c r="E45" i="23"/>
  <c r="O63" i="6"/>
  <c r="O64" i="6"/>
  <c r="O65" i="6"/>
  <c r="O66" i="6"/>
  <c r="O67" i="6"/>
  <c r="O68" i="6"/>
  <c r="O69" i="6"/>
  <c r="O70" i="6"/>
  <c r="O71" i="6"/>
  <c r="O72" i="6"/>
  <c r="O73" i="6"/>
  <c r="D2" i="20"/>
  <c r="Y4" i="23"/>
  <c r="T4" i="23"/>
  <c r="O4" i="23"/>
  <c r="J4" i="23"/>
  <c r="E42" i="23"/>
  <c r="K73" i="2" s="1"/>
  <c r="J73" i="4" s="1"/>
  <c r="E39" i="23"/>
  <c r="K72" i="2"/>
  <c r="J72" i="2" s="1"/>
  <c r="E36" i="23"/>
  <c r="K71" i="2" s="1"/>
  <c r="E33" i="23"/>
  <c r="K70" i="2" s="1"/>
  <c r="B84" i="16" s="1"/>
  <c r="E30" i="23"/>
  <c r="K69" i="2" s="1"/>
  <c r="B83" i="16" s="1"/>
  <c r="E27" i="23"/>
  <c r="K68" i="2" s="1"/>
  <c r="J68" i="4" s="1"/>
  <c r="E24" i="23"/>
  <c r="K67" i="2"/>
  <c r="B79" i="20" s="1"/>
  <c r="E21" i="23"/>
  <c r="K66" i="2"/>
  <c r="J66" i="2" s="1"/>
  <c r="E18" i="23"/>
  <c r="K65" i="2" s="1"/>
  <c r="B79" i="16" s="1"/>
  <c r="E15" i="23"/>
  <c r="K64" i="2" s="1"/>
  <c r="B76" i="20" s="1"/>
  <c r="E12" i="23"/>
  <c r="K63" i="2"/>
  <c r="J63" i="4" s="1"/>
  <c r="N64" i="18"/>
  <c r="I64" i="18"/>
  <c r="N60" i="18"/>
  <c r="N58" i="18"/>
  <c r="N56" i="18"/>
  <c r="N54" i="18"/>
  <c r="L48" i="18"/>
  <c r="M48" i="18"/>
  <c r="O62" i="6"/>
  <c r="G73" i="14"/>
  <c r="G72" i="14"/>
  <c r="G71" i="14"/>
  <c r="G70" i="14"/>
  <c r="G69" i="14"/>
  <c r="G68" i="14"/>
  <c r="G67" i="14"/>
  <c r="G66" i="14"/>
  <c r="G65" i="14"/>
  <c r="G64" i="14"/>
  <c r="G63" i="14"/>
  <c r="G62" i="14"/>
  <c r="G73" i="13"/>
  <c r="G72" i="13"/>
  <c r="G71" i="13"/>
  <c r="G70" i="13"/>
  <c r="G69" i="13"/>
  <c r="G68" i="13"/>
  <c r="G67" i="13"/>
  <c r="G66" i="13"/>
  <c r="G65" i="13"/>
  <c r="G64" i="13"/>
  <c r="G63" i="13"/>
  <c r="G62" i="13"/>
  <c r="G73" i="5"/>
  <c r="G72" i="5"/>
  <c r="G71" i="5"/>
  <c r="G70" i="5"/>
  <c r="G69" i="5"/>
  <c r="G68" i="5"/>
  <c r="G67" i="5"/>
  <c r="G66" i="5"/>
  <c r="G65" i="5"/>
  <c r="G64" i="5"/>
  <c r="G63" i="5"/>
  <c r="G62" i="5"/>
  <c r="G73" i="4"/>
  <c r="G72" i="4"/>
  <c r="G71" i="4"/>
  <c r="G70" i="4"/>
  <c r="G69" i="4"/>
  <c r="G68" i="4"/>
  <c r="G67" i="4"/>
  <c r="G66" i="4"/>
  <c r="G65" i="4"/>
  <c r="G64" i="4"/>
  <c r="G63" i="4"/>
  <c r="G62" i="4"/>
  <c r="P73" i="14"/>
  <c r="P72" i="14"/>
  <c r="P71" i="14"/>
  <c r="P70" i="14"/>
  <c r="P69" i="14"/>
  <c r="P68" i="14"/>
  <c r="P67" i="14"/>
  <c r="P66" i="14"/>
  <c r="P65" i="14"/>
  <c r="P64" i="14"/>
  <c r="P63" i="14"/>
  <c r="P62" i="14"/>
  <c r="P73" i="13"/>
  <c r="P72" i="13"/>
  <c r="P71" i="13"/>
  <c r="P70" i="13"/>
  <c r="P69" i="13"/>
  <c r="P68" i="13"/>
  <c r="P67" i="13"/>
  <c r="P66" i="13"/>
  <c r="P65" i="13"/>
  <c r="P64" i="13"/>
  <c r="P63" i="13"/>
  <c r="P62" i="13"/>
  <c r="P73" i="5"/>
  <c r="P72" i="5"/>
  <c r="P71" i="5"/>
  <c r="P70" i="5"/>
  <c r="P69" i="5"/>
  <c r="P68" i="5"/>
  <c r="P67" i="5"/>
  <c r="P66" i="5"/>
  <c r="P65" i="5"/>
  <c r="P64" i="5"/>
  <c r="P63" i="5"/>
  <c r="P62" i="5"/>
  <c r="P73" i="4"/>
  <c r="P72" i="4"/>
  <c r="P71" i="4"/>
  <c r="P70" i="4"/>
  <c r="P69" i="4"/>
  <c r="P68" i="4"/>
  <c r="P67" i="4"/>
  <c r="P66" i="4"/>
  <c r="P65" i="4"/>
  <c r="P64" i="4"/>
  <c r="P63" i="4"/>
  <c r="P62" i="4"/>
  <c r="P73" i="2"/>
  <c r="P72" i="2"/>
  <c r="P71" i="2"/>
  <c r="P70" i="2"/>
  <c r="P69" i="2"/>
  <c r="P68" i="2"/>
  <c r="P67" i="2"/>
  <c r="P66" i="2"/>
  <c r="P65" i="2"/>
  <c r="P64" i="2"/>
  <c r="P63" i="2"/>
  <c r="P62" i="2"/>
  <c r="G73" i="2"/>
  <c r="G73" i="6" s="1"/>
  <c r="G72" i="2"/>
  <c r="G72" i="6" s="1"/>
  <c r="G71" i="2"/>
  <c r="G71" i="6" s="1"/>
  <c r="G70" i="2"/>
  <c r="G70" i="6" s="1"/>
  <c r="G69" i="2"/>
  <c r="G69" i="6" s="1"/>
  <c r="G68" i="2"/>
  <c r="G68" i="6" s="1"/>
  <c r="G67" i="2"/>
  <c r="G67" i="6" s="1"/>
  <c r="G66" i="2"/>
  <c r="G66" i="6" s="1"/>
  <c r="G65" i="2"/>
  <c r="G65" i="6" s="1"/>
  <c r="G64" i="2"/>
  <c r="G64" i="6" s="1"/>
  <c r="G63" i="2"/>
  <c r="G63" i="6" s="1"/>
  <c r="G62" i="2"/>
  <c r="G62" i="6" s="1"/>
  <c r="AC40" i="21"/>
  <c r="X40" i="21"/>
  <c r="Y40" i="21" s="1"/>
  <c r="S40" i="21"/>
  <c r="AC39" i="21"/>
  <c r="X39" i="21"/>
  <c r="S39" i="21"/>
  <c r="T39" i="21" s="1"/>
  <c r="AC38" i="21"/>
  <c r="X38" i="21"/>
  <c r="Y38" i="21" s="1"/>
  <c r="S38" i="21"/>
  <c r="AC37" i="21"/>
  <c r="X37" i="21"/>
  <c r="S37" i="21"/>
  <c r="AC32" i="21"/>
  <c r="X32" i="21"/>
  <c r="S32" i="21"/>
  <c r="AC31" i="21"/>
  <c r="X31" i="21"/>
  <c r="S31" i="21"/>
  <c r="AC30" i="21"/>
  <c r="X30" i="21"/>
  <c r="S30" i="21"/>
  <c r="AC29" i="21"/>
  <c r="AD29" i="21" s="1"/>
  <c r="X29" i="21"/>
  <c r="S29" i="21"/>
  <c r="AC24" i="21"/>
  <c r="X24" i="21"/>
  <c r="Y24" i="21" s="1"/>
  <c r="S24" i="21"/>
  <c r="AC23" i="21"/>
  <c r="X23" i="21"/>
  <c r="S23" i="21"/>
  <c r="AC22" i="21"/>
  <c r="X22" i="21"/>
  <c r="Y22" i="21" s="1"/>
  <c r="S22" i="21"/>
  <c r="AC21" i="21"/>
  <c r="X21" i="21"/>
  <c r="S21" i="21"/>
  <c r="AC16" i="21"/>
  <c r="X16" i="21"/>
  <c r="Y16" i="21" s="1"/>
  <c r="S16" i="21"/>
  <c r="AC15" i="21"/>
  <c r="AD15" i="21" s="1"/>
  <c r="X15" i="21"/>
  <c r="S15" i="21"/>
  <c r="AC14" i="21"/>
  <c r="X14" i="21"/>
  <c r="S14" i="21"/>
  <c r="AC13" i="21"/>
  <c r="AD13" i="21" s="1"/>
  <c r="X13" i="21"/>
  <c r="S13" i="21"/>
  <c r="AA41" i="21"/>
  <c r="V41" i="21"/>
  <c r="M13" i="21" s="1"/>
  <c r="Q41" i="21"/>
  <c r="AD35" i="21"/>
  <c r="AB35" i="21"/>
  <c r="Y35" i="21"/>
  <c r="Y37" i="21" s="1"/>
  <c r="W35" i="21"/>
  <c r="T35" i="21"/>
  <c r="T40" i="21" s="1"/>
  <c r="R35" i="21"/>
  <c r="AA34" i="21"/>
  <c r="V34" i="21"/>
  <c r="Q34" i="21"/>
  <c r="AA33" i="21"/>
  <c r="V33" i="21"/>
  <c r="L12" i="21" s="1"/>
  <c r="N12" i="21" s="1"/>
  <c r="Q33" i="21"/>
  <c r="AD27" i="21"/>
  <c r="AD30" i="21" s="1"/>
  <c r="AB27" i="21"/>
  <c r="Y27" i="21"/>
  <c r="Y29" i="21" s="1"/>
  <c r="W27" i="21"/>
  <c r="T27" i="21"/>
  <c r="R27" i="21"/>
  <c r="AA26" i="21"/>
  <c r="V26" i="21"/>
  <c r="Q26" i="21"/>
  <c r="AA25" i="21"/>
  <c r="V25" i="21"/>
  <c r="L11" i="21" s="1"/>
  <c r="Q25" i="21"/>
  <c r="AD19" i="21"/>
  <c r="AB19" i="21"/>
  <c r="Y19" i="21"/>
  <c r="Y21" i="21" s="1"/>
  <c r="W19" i="21"/>
  <c r="T19" i="21"/>
  <c r="T22" i="21" s="1"/>
  <c r="R19" i="21"/>
  <c r="AA18" i="21"/>
  <c r="V18" i="21"/>
  <c r="Q18" i="21"/>
  <c r="AA17" i="21"/>
  <c r="V17" i="21"/>
  <c r="L10" i="21" s="1"/>
  <c r="N10" i="21" s="1"/>
  <c r="Q17" i="21"/>
  <c r="AD11" i="21"/>
  <c r="AD16" i="21" s="1"/>
  <c r="AB11" i="21"/>
  <c r="Y11" i="21"/>
  <c r="Y15" i="21" s="1"/>
  <c r="W11" i="21"/>
  <c r="T11" i="21"/>
  <c r="R11" i="21"/>
  <c r="AA10" i="21"/>
  <c r="V10" i="21"/>
  <c r="Q10" i="21"/>
  <c r="AA9" i="21"/>
  <c r="AC8" i="21"/>
  <c r="AC7" i="21"/>
  <c r="AC6" i="21"/>
  <c r="AC5" i="21"/>
  <c r="AD3" i="21"/>
  <c r="AD5" i="21" s="1"/>
  <c r="AB3" i="21"/>
  <c r="AA2" i="21"/>
  <c r="V9" i="21"/>
  <c r="X8" i="21"/>
  <c r="Y8" i="21" s="1"/>
  <c r="X7" i="21"/>
  <c r="X6" i="21"/>
  <c r="X5" i="21"/>
  <c r="Y3" i="21"/>
  <c r="Y7" i="21" s="1"/>
  <c r="W3" i="21"/>
  <c r="V2" i="21"/>
  <c r="S8" i="21"/>
  <c r="S7" i="21"/>
  <c r="T7" i="21" s="1"/>
  <c r="S6" i="21"/>
  <c r="S5" i="21"/>
  <c r="R3" i="21"/>
  <c r="T3" i="21"/>
  <c r="T8" i="21" s="1"/>
  <c r="D33" i="2"/>
  <c r="D33" i="5" s="1"/>
  <c r="E15" i="2"/>
  <c r="F15" i="2" s="1"/>
  <c r="A11" i="22"/>
  <c r="P11" i="22" s="1"/>
  <c r="A23" i="22"/>
  <c r="P23" i="22" s="1"/>
  <c r="A20" i="22"/>
  <c r="P20" i="22" s="1"/>
  <c r="A16" i="22"/>
  <c r="P16" i="22" s="1"/>
  <c r="A14" i="22"/>
  <c r="P14" i="22" s="1"/>
  <c r="B2" i="22"/>
  <c r="B4" i="22"/>
  <c r="A78" i="2"/>
  <c r="H3" i="20"/>
  <c r="D3" i="16"/>
  <c r="E3" i="16"/>
  <c r="B2" i="16"/>
  <c r="E29" i="2"/>
  <c r="F29" i="2" s="1"/>
  <c r="E28" i="2"/>
  <c r="F28" i="2" s="1"/>
  <c r="E27" i="2"/>
  <c r="F27" i="2" s="1"/>
  <c r="E26" i="2"/>
  <c r="F26" i="2" s="1"/>
  <c r="E25" i="2"/>
  <c r="F25" i="2" s="1"/>
  <c r="E24" i="2"/>
  <c r="F24" i="2" s="1"/>
  <c r="E23" i="2"/>
  <c r="F23" i="2" s="1"/>
  <c r="E22" i="2"/>
  <c r="F22" i="2" s="1"/>
  <c r="E21" i="2"/>
  <c r="F21" i="2" s="1"/>
  <c r="E20" i="2"/>
  <c r="F20" i="2" s="1"/>
  <c r="E19" i="2"/>
  <c r="F19" i="2" s="1"/>
  <c r="E18" i="2"/>
  <c r="F18" i="2" s="1"/>
  <c r="E17" i="2"/>
  <c r="F17" i="2" s="1"/>
  <c r="E16" i="2"/>
  <c r="F16" i="2" s="1"/>
  <c r="K3" i="6"/>
  <c r="A78" i="6" s="1"/>
  <c r="N8" i="18"/>
  <c r="N9" i="18"/>
  <c r="N10" i="18"/>
  <c r="N11" i="18"/>
  <c r="N12" i="18"/>
  <c r="N13" i="18"/>
  <c r="N14" i="18"/>
  <c r="N15" i="18"/>
  <c r="N16" i="18"/>
  <c r="N17" i="18"/>
  <c r="N18" i="18"/>
  <c r="N19" i="18"/>
  <c r="N20" i="18"/>
  <c r="N21" i="18"/>
  <c r="N7" i="18"/>
  <c r="A71" i="18"/>
  <c r="A70" i="18"/>
  <c r="I60" i="18"/>
  <c r="I58" i="18"/>
  <c r="I56" i="18"/>
  <c r="I54" i="18"/>
  <c r="A2" i="18"/>
  <c r="D35" i="2"/>
  <c r="D36" i="2"/>
  <c r="D37" i="2"/>
  <c r="F5" i="16"/>
  <c r="E5" i="16"/>
  <c r="D5" i="16"/>
  <c r="C5" i="16"/>
  <c r="N5" i="20"/>
  <c r="N111" i="20" s="1"/>
  <c r="K5" i="20"/>
  <c r="K111" i="20" s="1"/>
  <c r="H5" i="20"/>
  <c r="H111" i="20" s="1"/>
  <c r="E5" i="20"/>
  <c r="E111" i="20" s="1"/>
  <c r="N86" i="2"/>
  <c r="D40" i="2"/>
  <c r="A57" i="16" s="1"/>
  <c r="D39" i="2"/>
  <c r="D38" i="2"/>
  <c r="D32" i="2"/>
  <c r="N3" i="20"/>
  <c r="D77" i="2"/>
  <c r="N85" i="6"/>
  <c r="E11" i="6"/>
  <c r="E9" i="6"/>
  <c r="E10" i="6"/>
  <c r="E8" i="6"/>
  <c r="L2" i="6"/>
  <c r="K2" i="6"/>
  <c r="C68" i="6"/>
  <c r="E10" i="5"/>
  <c r="E10" i="13"/>
  <c r="E10" i="14"/>
  <c r="E10" i="4"/>
  <c r="E8" i="5"/>
  <c r="E8" i="13"/>
  <c r="E8" i="14"/>
  <c r="E8" i="4"/>
  <c r="E11" i="5"/>
  <c r="E11" i="13"/>
  <c r="E11" i="14"/>
  <c r="E11" i="4"/>
  <c r="A1" i="4"/>
  <c r="A1" i="13"/>
  <c r="A1" i="14"/>
  <c r="M110" i="9"/>
  <c r="O110" i="9"/>
  <c r="A65" i="20"/>
  <c r="A64" i="20"/>
  <c r="P89" i="2"/>
  <c r="R104" i="20" s="1"/>
  <c r="P89" i="4"/>
  <c r="P89" i="5"/>
  <c r="P89" i="13"/>
  <c r="P89" i="14"/>
  <c r="Q93" i="5"/>
  <c r="Q91" i="5"/>
  <c r="Q90" i="5"/>
  <c r="Q89" i="5"/>
  <c r="Q93" i="13"/>
  <c r="Q91" i="13"/>
  <c r="Q90" i="13"/>
  <c r="Q89" i="13"/>
  <c r="Q93" i="14"/>
  <c r="Q91" i="14"/>
  <c r="Q90" i="14"/>
  <c r="Q89" i="14"/>
  <c r="Q93" i="4"/>
  <c r="Q91" i="4"/>
  <c r="Q90" i="4"/>
  <c r="Q89" i="4"/>
  <c r="Q93" i="2"/>
  <c r="Q91" i="2"/>
  <c r="Q90" i="2"/>
  <c r="Q89" i="2"/>
  <c r="C73" i="20"/>
  <c r="B73" i="20"/>
  <c r="C72" i="20"/>
  <c r="B72" i="20"/>
  <c r="C70" i="20"/>
  <c r="B70" i="20"/>
  <c r="C69" i="20"/>
  <c r="B69" i="20"/>
  <c r="C68" i="20"/>
  <c r="B68" i="20"/>
  <c r="C67" i="20"/>
  <c r="B67" i="20"/>
  <c r="B75" i="16"/>
  <c r="B74" i="16"/>
  <c r="B72" i="16"/>
  <c r="B71" i="16"/>
  <c r="B70" i="16"/>
  <c r="B69" i="16"/>
  <c r="K35" i="16"/>
  <c r="A35" i="16" s="1"/>
  <c r="K33" i="16"/>
  <c r="A33" i="16" s="1"/>
  <c r="K31" i="16"/>
  <c r="K29" i="16"/>
  <c r="A29" i="16" s="1"/>
  <c r="K27" i="16"/>
  <c r="K25" i="16"/>
  <c r="A26" i="16" s="1"/>
  <c r="K23" i="16"/>
  <c r="A24" i="16" s="1"/>
  <c r="K21" i="16"/>
  <c r="A22" i="16" s="1"/>
  <c r="K19" i="16"/>
  <c r="A20" i="16" s="1"/>
  <c r="K17" i="16"/>
  <c r="A17" i="16" s="1"/>
  <c r="K15" i="16"/>
  <c r="K13" i="16"/>
  <c r="A13" i="16" s="1"/>
  <c r="K11" i="16"/>
  <c r="A12" i="16" s="1"/>
  <c r="K9" i="16"/>
  <c r="A9" i="16" s="1"/>
  <c r="K7" i="16"/>
  <c r="A67" i="16"/>
  <c r="A66" i="16"/>
  <c r="AR36" i="20"/>
  <c r="V36" i="20"/>
  <c r="A37" i="20" s="1"/>
  <c r="AR34" i="20"/>
  <c r="V34" i="20"/>
  <c r="A35" i="20" s="1"/>
  <c r="AR32" i="20"/>
  <c r="V32" i="20"/>
  <c r="A33" i="20" s="1"/>
  <c r="AR30" i="20"/>
  <c r="V30" i="20"/>
  <c r="A30" i="20" s="1"/>
  <c r="AR28" i="20"/>
  <c r="V28" i="20"/>
  <c r="A29" i="20" s="1"/>
  <c r="AR26" i="20"/>
  <c r="V26" i="20"/>
  <c r="A27" i="20" s="1"/>
  <c r="AR24" i="20"/>
  <c r="V24" i="20"/>
  <c r="AR22" i="20"/>
  <c r="V22" i="20"/>
  <c r="A22" i="20" s="1"/>
  <c r="AR20" i="20"/>
  <c r="V20" i="20"/>
  <c r="A21" i="20" s="1"/>
  <c r="AR18" i="20"/>
  <c r="V18" i="20"/>
  <c r="A18" i="20" s="1"/>
  <c r="AR8" i="20"/>
  <c r="V8" i="20"/>
  <c r="A8" i="20"/>
  <c r="A62" i="16"/>
  <c r="A63" i="20"/>
  <c r="A65" i="16"/>
  <c r="A75" i="16"/>
  <c r="A74" i="16"/>
  <c r="A73" i="16"/>
  <c r="A72" i="16"/>
  <c r="A71" i="16"/>
  <c r="A70" i="16"/>
  <c r="A69" i="16"/>
  <c r="A73" i="20"/>
  <c r="A72" i="20"/>
  <c r="A71" i="20"/>
  <c r="A70" i="20"/>
  <c r="A69" i="20"/>
  <c r="A68" i="20"/>
  <c r="A67" i="20"/>
  <c r="A8" i="16"/>
  <c r="A7" i="16"/>
  <c r="V10" i="20"/>
  <c r="A11" i="20" s="1"/>
  <c r="A9" i="20"/>
  <c r="AR16" i="20"/>
  <c r="V16" i="20"/>
  <c r="A16" i="20" s="1"/>
  <c r="AR14" i="20"/>
  <c r="V14" i="20"/>
  <c r="AR12" i="20"/>
  <c r="V12" i="20"/>
  <c r="A12" i="20" s="1"/>
  <c r="AR10" i="20"/>
  <c r="Q111" i="20"/>
  <c r="B111" i="20"/>
  <c r="N2" i="20"/>
  <c r="F2" i="16"/>
  <c r="I3" i="21"/>
  <c r="F157" i="9"/>
  <c r="E157" i="9"/>
  <c r="D157" i="9"/>
  <c r="F156" i="9"/>
  <c r="E156" i="9"/>
  <c r="D156" i="9"/>
  <c r="F155" i="9"/>
  <c r="E155" i="9"/>
  <c r="D155" i="9"/>
  <c r="F154" i="9"/>
  <c r="E154" i="9"/>
  <c r="D154" i="9"/>
  <c r="F153" i="9"/>
  <c r="E153" i="9"/>
  <c r="D153" i="9"/>
  <c r="F152" i="9"/>
  <c r="E152" i="9"/>
  <c r="D152" i="9"/>
  <c r="F151" i="9"/>
  <c r="E151" i="9"/>
  <c r="D151" i="9"/>
  <c r="F150" i="9"/>
  <c r="E150" i="9"/>
  <c r="D150" i="9"/>
  <c r="F149" i="9"/>
  <c r="E149" i="9"/>
  <c r="D149" i="9"/>
  <c r="F148" i="9"/>
  <c r="E148" i="9"/>
  <c r="D148" i="9"/>
  <c r="F147" i="9"/>
  <c r="E147" i="9"/>
  <c r="D147" i="9"/>
  <c r="D146" i="9"/>
  <c r="F145" i="9"/>
  <c r="E145" i="9"/>
  <c r="D145" i="9"/>
  <c r="C145" i="9"/>
  <c r="F144" i="9"/>
  <c r="E144" i="9"/>
  <c r="D144" i="9"/>
  <c r="C144" i="9"/>
  <c r="F143" i="9"/>
  <c r="E143" i="9"/>
  <c r="D143" i="9"/>
  <c r="C143" i="9"/>
  <c r="F142" i="9"/>
  <c r="E142" i="9"/>
  <c r="D142" i="9"/>
  <c r="C142" i="9"/>
  <c r="F141" i="9"/>
  <c r="E141" i="9"/>
  <c r="D141" i="9"/>
  <c r="C141" i="9"/>
  <c r="F140" i="9"/>
  <c r="E140" i="9"/>
  <c r="D140" i="9"/>
  <c r="C140" i="9"/>
  <c r="F139" i="9"/>
  <c r="E139" i="9"/>
  <c r="D139" i="9"/>
  <c r="C139" i="9"/>
  <c r="F138" i="9"/>
  <c r="E138" i="9"/>
  <c r="D138" i="9"/>
  <c r="C138" i="9"/>
  <c r="F137" i="9"/>
  <c r="E137" i="9"/>
  <c r="D137" i="9"/>
  <c r="C137" i="9"/>
  <c r="F136" i="9"/>
  <c r="E136" i="9"/>
  <c r="D136" i="9"/>
  <c r="C136" i="9"/>
  <c r="F135" i="9"/>
  <c r="E135" i="9"/>
  <c r="D135" i="9"/>
  <c r="C135" i="9"/>
  <c r="D134" i="9"/>
  <c r="F133" i="9"/>
  <c r="E133" i="9"/>
  <c r="D133" i="9"/>
  <c r="C133" i="9"/>
  <c r="F132" i="9"/>
  <c r="E132" i="9"/>
  <c r="D132" i="9"/>
  <c r="C132" i="9"/>
  <c r="F131" i="9"/>
  <c r="E131" i="9"/>
  <c r="D131" i="9"/>
  <c r="C131" i="9"/>
  <c r="F130" i="9"/>
  <c r="E130" i="9"/>
  <c r="D130" i="9"/>
  <c r="C130" i="9"/>
  <c r="F129" i="9"/>
  <c r="E129" i="9"/>
  <c r="D129" i="9"/>
  <c r="C129" i="9"/>
  <c r="F128" i="9"/>
  <c r="E128" i="9"/>
  <c r="D128" i="9"/>
  <c r="C128" i="9"/>
  <c r="F127" i="9"/>
  <c r="E127" i="9"/>
  <c r="D127" i="9"/>
  <c r="C127" i="9"/>
  <c r="F126" i="9"/>
  <c r="E126" i="9"/>
  <c r="D126" i="9"/>
  <c r="C126" i="9"/>
  <c r="F125" i="9"/>
  <c r="E125" i="9"/>
  <c r="D125" i="9"/>
  <c r="C125" i="9"/>
  <c r="F124" i="9"/>
  <c r="E124" i="9"/>
  <c r="D124" i="9"/>
  <c r="C124" i="9"/>
  <c r="F123" i="9"/>
  <c r="E123" i="9"/>
  <c r="D123" i="9"/>
  <c r="C123" i="9"/>
  <c r="F122" i="9"/>
  <c r="E122" i="9"/>
  <c r="D122" i="9"/>
  <c r="C122" i="9"/>
  <c r="F121" i="9"/>
  <c r="E121" i="9"/>
  <c r="D121" i="9"/>
  <c r="C121" i="9"/>
  <c r="F120" i="9"/>
  <c r="E120" i="9"/>
  <c r="D120" i="9"/>
  <c r="C120" i="9"/>
  <c r="F119" i="9"/>
  <c r="E119" i="9"/>
  <c r="D119" i="9"/>
  <c r="C119" i="9"/>
  <c r="F118" i="9"/>
  <c r="E118" i="9"/>
  <c r="D118" i="9"/>
  <c r="C118" i="9"/>
  <c r="F117" i="9"/>
  <c r="E117" i="9"/>
  <c r="D117" i="9"/>
  <c r="C117" i="9"/>
  <c r="F116" i="9"/>
  <c r="E116" i="9"/>
  <c r="D116" i="9"/>
  <c r="C116" i="9"/>
  <c r="F115" i="9"/>
  <c r="E115" i="9"/>
  <c r="D115" i="9"/>
  <c r="C115" i="9"/>
  <c r="F114" i="9"/>
  <c r="E114" i="9"/>
  <c r="D114" i="9"/>
  <c r="C114" i="9"/>
  <c r="F113" i="9"/>
  <c r="E113" i="9"/>
  <c r="D113" i="9"/>
  <c r="C113" i="9"/>
  <c r="F112" i="9"/>
  <c r="E112" i="9"/>
  <c r="D112" i="9"/>
  <c r="C112" i="9"/>
  <c r="F111" i="9"/>
  <c r="E111" i="9"/>
  <c r="D111" i="9"/>
  <c r="C111" i="9"/>
  <c r="F110" i="9"/>
  <c r="E110" i="9"/>
  <c r="D110" i="9"/>
  <c r="C110" i="9"/>
  <c r="F109" i="9"/>
  <c r="E109" i="9"/>
  <c r="D109" i="9"/>
  <c r="C109" i="9"/>
  <c r="F108" i="9"/>
  <c r="E108" i="9"/>
  <c r="D108" i="9"/>
  <c r="C108" i="9"/>
  <c r="F107" i="9"/>
  <c r="E107" i="9"/>
  <c r="D107" i="9"/>
  <c r="C107" i="9"/>
  <c r="F106" i="9"/>
  <c r="E106" i="9"/>
  <c r="D106" i="9"/>
  <c r="C106" i="9"/>
  <c r="F105" i="9"/>
  <c r="E105" i="9"/>
  <c r="D105" i="9"/>
  <c r="C105" i="9"/>
  <c r="F104" i="9"/>
  <c r="E104" i="9"/>
  <c r="D104" i="9"/>
  <c r="C104" i="9"/>
  <c r="F103" i="9"/>
  <c r="E103" i="9"/>
  <c r="D103" i="9"/>
  <c r="C103" i="9"/>
  <c r="F102" i="9"/>
  <c r="E102" i="9"/>
  <c r="D102" i="9"/>
  <c r="C102" i="9"/>
  <c r="F101" i="9"/>
  <c r="E101" i="9"/>
  <c r="D101" i="9"/>
  <c r="C101" i="9"/>
  <c r="F100" i="9"/>
  <c r="E100" i="9"/>
  <c r="D100" i="9"/>
  <c r="C100" i="9"/>
  <c r="F99" i="9"/>
  <c r="E99" i="9"/>
  <c r="D99" i="9"/>
  <c r="C99" i="9"/>
  <c r="F98" i="9"/>
  <c r="E98" i="9"/>
  <c r="D98" i="9"/>
  <c r="C98" i="9"/>
  <c r="F97" i="9"/>
  <c r="E97" i="9"/>
  <c r="D97" i="9"/>
  <c r="C97" i="9"/>
  <c r="F96" i="9"/>
  <c r="E96" i="9"/>
  <c r="D96" i="9"/>
  <c r="C96" i="9"/>
  <c r="F95" i="9"/>
  <c r="E95" i="9"/>
  <c r="D95" i="9"/>
  <c r="C95" i="9"/>
  <c r="F94" i="9"/>
  <c r="E94" i="9"/>
  <c r="D94" i="9"/>
  <c r="C94" i="9"/>
  <c r="F93" i="9"/>
  <c r="E93" i="9"/>
  <c r="D93" i="9"/>
  <c r="C93" i="9"/>
  <c r="F92" i="9"/>
  <c r="E92" i="9"/>
  <c r="D92" i="9"/>
  <c r="C92" i="9"/>
  <c r="F91" i="9"/>
  <c r="E91" i="9"/>
  <c r="D91" i="9"/>
  <c r="C91" i="9"/>
  <c r="F90" i="9"/>
  <c r="E90" i="9"/>
  <c r="D90" i="9"/>
  <c r="C90" i="9"/>
  <c r="F89" i="9"/>
  <c r="E89" i="9"/>
  <c r="D89" i="9"/>
  <c r="C89" i="9"/>
  <c r="F88" i="9"/>
  <c r="E88" i="9"/>
  <c r="D88" i="9"/>
  <c r="C88" i="9"/>
  <c r="F87" i="9"/>
  <c r="E87" i="9"/>
  <c r="D87" i="9"/>
  <c r="C87" i="9"/>
  <c r="F86" i="9"/>
  <c r="E86" i="9"/>
  <c r="D86" i="9"/>
  <c r="C86" i="9"/>
  <c r="F85" i="9"/>
  <c r="E85" i="9"/>
  <c r="D85" i="9"/>
  <c r="C85" i="9"/>
  <c r="F84" i="9"/>
  <c r="E84" i="9"/>
  <c r="D84" i="9"/>
  <c r="C84" i="9"/>
  <c r="F83" i="9"/>
  <c r="E83" i="9"/>
  <c r="D83" i="9"/>
  <c r="C83" i="9"/>
  <c r="F82" i="9"/>
  <c r="E82" i="9"/>
  <c r="D82" i="9"/>
  <c r="C82" i="9"/>
  <c r="F81" i="9"/>
  <c r="E81" i="9"/>
  <c r="D81" i="9"/>
  <c r="C81" i="9"/>
  <c r="F80" i="9"/>
  <c r="E80" i="9"/>
  <c r="D80" i="9"/>
  <c r="C80" i="9"/>
  <c r="F79" i="9"/>
  <c r="E79" i="9"/>
  <c r="D79" i="9"/>
  <c r="C79" i="9"/>
  <c r="F78" i="9"/>
  <c r="E78" i="9"/>
  <c r="D78" i="9"/>
  <c r="C78" i="9"/>
  <c r="F77" i="9"/>
  <c r="E77" i="9"/>
  <c r="D77" i="9"/>
  <c r="C77" i="9"/>
  <c r="F76" i="9"/>
  <c r="E76" i="9"/>
  <c r="D76" i="9"/>
  <c r="C76" i="9"/>
  <c r="F75" i="9"/>
  <c r="E75" i="9"/>
  <c r="D75" i="9"/>
  <c r="C75" i="9"/>
  <c r="F74" i="9"/>
  <c r="E74" i="9"/>
  <c r="D74" i="9"/>
  <c r="C74" i="9"/>
  <c r="F73" i="9"/>
  <c r="E73" i="9"/>
  <c r="D73" i="9"/>
  <c r="C73" i="9"/>
  <c r="F72" i="9"/>
  <c r="E72" i="9"/>
  <c r="D72" i="9"/>
  <c r="C72" i="9"/>
  <c r="F71" i="9"/>
  <c r="E71" i="9"/>
  <c r="D71" i="9"/>
  <c r="C71" i="9"/>
  <c r="F70" i="9"/>
  <c r="E70" i="9"/>
  <c r="D70" i="9"/>
  <c r="C70" i="9"/>
  <c r="F69" i="9"/>
  <c r="E69" i="9"/>
  <c r="D69" i="9"/>
  <c r="C69" i="9"/>
  <c r="F68" i="9"/>
  <c r="E68" i="9"/>
  <c r="D68" i="9"/>
  <c r="C68" i="9"/>
  <c r="F67" i="9"/>
  <c r="E67" i="9"/>
  <c r="D67" i="9"/>
  <c r="C67" i="9"/>
  <c r="F66" i="9"/>
  <c r="E66" i="9"/>
  <c r="D66" i="9"/>
  <c r="C66" i="9"/>
  <c r="F65" i="9"/>
  <c r="E65" i="9"/>
  <c r="D65" i="9"/>
  <c r="C65" i="9"/>
  <c r="F64" i="9"/>
  <c r="E64" i="9"/>
  <c r="D64" i="9"/>
  <c r="C64" i="9"/>
  <c r="F63" i="9"/>
  <c r="E63" i="9"/>
  <c r="D63" i="9"/>
  <c r="C63" i="9"/>
  <c r="F62" i="9"/>
  <c r="E62" i="9"/>
  <c r="D62" i="9"/>
  <c r="C62" i="9"/>
  <c r="F61" i="9"/>
  <c r="E61" i="9"/>
  <c r="D61" i="9"/>
  <c r="C61" i="9"/>
  <c r="F60" i="9"/>
  <c r="E60" i="9"/>
  <c r="D60" i="9"/>
  <c r="C60" i="9"/>
  <c r="F59" i="9"/>
  <c r="E59" i="9"/>
  <c r="D59" i="9"/>
  <c r="C59" i="9"/>
  <c r="F58" i="9"/>
  <c r="E58" i="9"/>
  <c r="D58" i="9"/>
  <c r="C58" i="9"/>
  <c r="F57" i="9"/>
  <c r="E57" i="9"/>
  <c r="D57" i="9"/>
  <c r="C57" i="9"/>
  <c r="F56" i="9"/>
  <c r="E56" i="9"/>
  <c r="D56" i="9"/>
  <c r="C56" i="9"/>
  <c r="F55" i="9"/>
  <c r="E55" i="9"/>
  <c r="D55" i="9"/>
  <c r="C55" i="9"/>
  <c r="F54" i="9"/>
  <c r="E54" i="9"/>
  <c r="D54" i="9"/>
  <c r="C54" i="9"/>
  <c r="F53" i="9"/>
  <c r="E53" i="9"/>
  <c r="D53" i="9"/>
  <c r="C53" i="9"/>
  <c r="F52" i="9"/>
  <c r="E52" i="9"/>
  <c r="D52" i="9"/>
  <c r="C52" i="9"/>
  <c r="F51" i="9"/>
  <c r="E51" i="9"/>
  <c r="D51" i="9"/>
  <c r="C51" i="9"/>
  <c r="F50" i="9"/>
  <c r="E50" i="9"/>
  <c r="D50" i="9"/>
  <c r="C50" i="9"/>
  <c r="F49" i="9"/>
  <c r="E49" i="9"/>
  <c r="D49" i="9"/>
  <c r="C49" i="9"/>
  <c r="F48" i="9"/>
  <c r="E48" i="9"/>
  <c r="D48" i="9"/>
  <c r="C48" i="9"/>
  <c r="F47" i="9"/>
  <c r="E47" i="9"/>
  <c r="D47" i="9"/>
  <c r="C47" i="9"/>
  <c r="F46" i="9"/>
  <c r="E46" i="9"/>
  <c r="D46" i="9"/>
  <c r="C46" i="9"/>
  <c r="F45" i="9"/>
  <c r="E45" i="9"/>
  <c r="D45" i="9"/>
  <c r="C45" i="9"/>
  <c r="F44" i="9"/>
  <c r="E44" i="9"/>
  <c r="D44" i="9"/>
  <c r="C44" i="9"/>
  <c r="F43" i="9"/>
  <c r="E43" i="9"/>
  <c r="D43" i="9"/>
  <c r="C43" i="9"/>
  <c r="F42" i="9"/>
  <c r="E42" i="9"/>
  <c r="D42" i="9"/>
  <c r="C42" i="9"/>
  <c r="F41" i="9"/>
  <c r="E41" i="9"/>
  <c r="D41" i="9"/>
  <c r="C41" i="9"/>
  <c r="F40" i="9"/>
  <c r="E40" i="9"/>
  <c r="D40" i="9"/>
  <c r="C40" i="9"/>
  <c r="F39" i="9"/>
  <c r="E39" i="9"/>
  <c r="D39" i="9"/>
  <c r="C39" i="9"/>
  <c r="F38" i="9"/>
  <c r="E38" i="9"/>
  <c r="D38" i="9"/>
  <c r="C38" i="9"/>
  <c r="F37" i="9"/>
  <c r="E37" i="9"/>
  <c r="D37" i="9"/>
  <c r="C37" i="9"/>
  <c r="F36" i="9"/>
  <c r="E36" i="9"/>
  <c r="D36" i="9"/>
  <c r="C36" i="9"/>
  <c r="F35" i="9"/>
  <c r="E35" i="9"/>
  <c r="D35" i="9"/>
  <c r="C35" i="9"/>
  <c r="F34" i="9"/>
  <c r="E34" i="9"/>
  <c r="D34" i="9"/>
  <c r="C34" i="9"/>
  <c r="F33" i="9"/>
  <c r="E33" i="9"/>
  <c r="D33" i="9"/>
  <c r="C33" i="9"/>
  <c r="F32" i="9"/>
  <c r="E32" i="9"/>
  <c r="D32" i="9"/>
  <c r="C32" i="9"/>
  <c r="F31" i="9"/>
  <c r="E31" i="9"/>
  <c r="D31" i="9"/>
  <c r="C31" i="9"/>
  <c r="F30" i="9"/>
  <c r="E30" i="9"/>
  <c r="D30" i="9"/>
  <c r="C30" i="9"/>
  <c r="F29" i="9"/>
  <c r="E29" i="9"/>
  <c r="D29" i="9"/>
  <c r="C29" i="9"/>
  <c r="F28" i="9"/>
  <c r="E28" i="9"/>
  <c r="D28" i="9"/>
  <c r="C28" i="9"/>
  <c r="F27" i="9"/>
  <c r="E27" i="9"/>
  <c r="D27" i="9"/>
  <c r="C27" i="9"/>
  <c r="F26" i="9"/>
  <c r="E26" i="9"/>
  <c r="D26" i="9"/>
  <c r="C26" i="9"/>
  <c r="F25" i="9"/>
  <c r="E25" i="9"/>
  <c r="D25" i="9"/>
  <c r="C25" i="9"/>
  <c r="F24" i="9"/>
  <c r="E24" i="9"/>
  <c r="D24" i="9"/>
  <c r="C24" i="9"/>
  <c r="F23" i="9"/>
  <c r="E23" i="9"/>
  <c r="D23" i="9"/>
  <c r="C23" i="9"/>
  <c r="F22" i="9"/>
  <c r="E22" i="9"/>
  <c r="D22" i="9"/>
  <c r="C22" i="9"/>
  <c r="F21" i="9"/>
  <c r="E21" i="9"/>
  <c r="D21" i="9"/>
  <c r="C21" i="9"/>
  <c r="F20" i="9"/>
  <c r="E20" i="9"/>
  <c r="D20" i="9"/>
  <c r="C20" i="9"/>
  <c r="F19" i="9"/>
  <c r="E19" i="9"/>
  <c r="D19" i="9"/>
  <c r="C19" i="9"/>
  <c r="F18" i="9"/>
  <c r="E18" i="9"/>
  <c r="D18" i="9"/>
  <c r="C18" i="9"/>
  <c r="F17" i="9"/>
  <c r="E17" i="9"/>
  <c r="D17" i="9"/>
  <c r="C17" i="9"/>
  <c r="F16" i="9"/>
  <c r="E16" i="9"/>
  <c r="D16" i="9"/>
  <c r="C16" i="9"/>
  <c r="F15" i="9"/>
  <c r="E15" i="9"/>
  <c r="D15" i="9"/>
  <c r="C15" i="9"/>
  <c r="F14" i="9"/>
  <c r="E14" i="9"/>
  <c r="D14" i="9"/>
  <c r="C14" i="9"/>
  <c r="F13" i="9"/>
  <c r="E13" i="9"/>
  <c r="D13" i="9"/>
  <c r="C13" i="9"/>
  <c r="F12" i="9"/>
  <c r="E12" i="9"/>
  <c r="D12" i="9"/>
  <c r="C12" i="9"/>
  <c r="F11" i="9"/>
  <c r="E11" i="9"/>
  <c r="D11" i="9"/>
  <c r="C11" i="9"/>
  <c r="F10" i="9"/>
  <c r="E10" i="9"/>
  <c r="D10" i="9"/>
  <c r="C10" i="9"/>
  <c r="F9" i="9"/>
  <c r="E9" i="9"/>
  <c r="D9" i="9"/>
  <c r="C9" i="9"/>
  <c r="F8" i="9"/>
  <c r="E8" i="9"/>
  <c r="D8" i="9"/>
  <c r="C8" i="9"/>
  <c r="F7" i="9"/>
  <c r="E7" i="9"/>
  <c r="D7" i="9"/>
  <c r="C7" i="9"/>
  <c r="F6" i="9"/>
  <c r="E6" i="9"/>
  <c r="D6" i="9"/>
  <c r="C6" i="9"/>
  <c r="F5" i="9"/>
  <c r="E5" i="9"/>
  <c r="D5" i="9"/>
  <c r="C5" i="9"/>
  <c r="F4" i="9"/>
  <c r="E4" i="9"/>
  <c r="D4" i="9"/>
  <c r="C4" i="9"/>
  <c r="F3" i="9"/>
  <c r="E3" i="9"/>
  <c r="D3" i="9"/>
  <c r="C3" i="9"/>
  <c r="F2" i="9"/>
  <c r="D2" i="9"/>
  <c r="E2" i="9"/>
  <c r="C2" i="9"/>
  <c r="O157" i="9"/>
  <c r="M157" i="9"/>
  <c r="O156" i="9"/>
  <c r="M156" i="9"/>
  <c r="O155" i="9"/>
  <c r="M155" i="9"/>
  <c r="O154" i="9"/>
  <c r="M154" i="9"/>
  <c r="O153" i="9"/>
  <c r="M153" i="9"/>
  <c r="O152" i="9"/>
  <c r="M152" i="9"/>
  <c r="O151" i="9"/>
  <c r="M151" i="9"/>
  <c r="O150" i="9"/>
  <c r="M150" i="9"/>
  <c r="O149" i="9"/>
  <c r="M149" i="9"/>
  <c r="O148" i="9"/>
  <c r="M148" i="9"/>
  <c r="O147" i="9"/>
  <c r="M147" i="9"/>
  <c r="O146" i="9"/>
  <c r="M146" i="9"/>
  <c r="O145" i="9"/>
  <c r="M145" i="9"/>
  <c r="O144" i="9"/>
  <c r="M144" i="9"/>
  <c r="O143" i="9"/>
  <c r="M143" i="9"/>
  <c r="O142" i="9"/>
  <c r="M142" i="9"/>
  <c r="O141" i="9"/>
  <c r="M141" i="9"/>
  <c r="O140" i="9"/>
  <c r="M140" i="9"/>
  <c r="O139" i="9"/>
  <c r="M139" i="9"/>
  <c r="O138" i="9"/>
  <c r="M138" i="9"/>
  <c r="O137" i="9"/>
  <c r="M137" i="9"/>
  <c r="O136" i="9"/>
  <c r="M136" i="9"/>
  <c r="O135" i="9"/>
  <c r="M135" i="9"/>
  <c r="O134" i="9"/>
  <c r="M134" i="9"/>
  <c r="K134" i="9"/>
  <c r="O133" i="9"/>
  <c r="M133" i="9"/>
  <c r="K133" i="9"/>
  <c r="O132" i="9"/>
  <c r="M132" i="9"/>
  <c r="K132" i="9"/>
  <c r="O131" i="9"/>
  <c r="M131" i="9"/>
  <c r="O130" i="9"/>
  <c r="M130" i="9"/>
  <c r="K130" i="9"/>
  <c r="O129" i="9"/>
  <c r="M129" i="9"/>
  <c r="K129" i="9"/>
  <c r="O128" i="9"/>
  <c r="M128" i="9"/>
  <c r="K128" i="9"/>
  <c r="O127" i="9"/>
  <c r="M127" i="9"/>
  <c r="K127" i="9"/>
  <c r="O126" i="9"/>
  <c r="M126" i="9"/>
  <c r="K126" i="9"/>
  <c r="O125" i="9"/>
  <c r="M125" i="9"/>
  <c r="K125" i="9"/>
  <c r="O124" i="9"/>
  <c r="M124" i="9"/>
  <c r="K124" i="9"/>
  <c r="O123" i="9"/>
  <c r="M123" i="9"/>
  <c r="K123" i="9"/>
  <c r="O122" i="9"/>
  <c r="M122" i="9"/>
  <c r="K122" i="9"/>
  <c r="O121" i="9"/>
  <c r="M121" i="9"/>
  <c r="K121" i="9"/>
  <c r="O120" i="9"/>
  <c r="M120" i="9"/>
  <c r="K120" i="9"/>
  <c r="O119" i="9"/>
  <c r="M119" i="9"/>
  <c r="K119" i="9"/>
  <c r="O118" i="9"/>
  <c r="M118" i="9"/>
  <c r="K118" i="9"/>
  <c r="O117" i="9"/>
  <c r="M117" i="9"/>
  <c r="K117" i="9"/>
  <c r="O116" i="9"/>
  <c r="M116" i="9"/>
  <c r="K116" i="9"/>
  <c r="O115" i="9"/>
  <c r="M115" i="9"/>
  <c r="K115" i="9"/>
  <c r="O114" i="9"/>
  <c r="M114" i="9"/>
  <c r="K114" i="9"/>
  <c r="O113" i="9"/>
  <c r="M113" i="9"/>
  <c r="K113" i="9"/>
  <c r="O112" i="9"/>
  <c r="M112" i="9"/>
  <c r="K112" i="9"/>
  <c r="O111" i="9"/>
  <c r="M111" i="9"/>
  <c r="K111" i="9"/>
  <c r="K110" i="9"/>
  <c r="K109" i="9"/>
  <c r="K108" i="9"/>
  <c r="K107" i="9"/>
  <c r="K106" i="9"/>
  <c r="K105" i="9"/>
  <c r="K104" i="9"/>
  <c r="K103" i="9"/>
  <c r="K102" i="9"/>
  <c r="K101" i="9"/>
  <c r="K100" i="9"/>
  <c r="K99" i="9"/>
  <c r="K98" i="9"/>
  <c r="K97" i="9"/>
  <c r="K96" i="9"/>
  <c r="K95" i="9"/>
  <c r="K94" i="9"/>
  <c r="K93" i="9"/>
  <c r="K92" i="9"/>
  <c r="K91" i="9"/>
  <c r="K90" i="9"/>
  <c r="K89" i="9"/>
  <c r="K88" i="9"/>
  <c r="K87" i="9"/>
  <c r="K86" i="9"/>
  <c r="K85" i="9"/>
  <c r="K84" i="9"/>
  <c r="K83" i="9"/>
  <c r="K82" i="9"/>
  <c r="K81" i="9"/>
  <c r="K80" i="9"/>
  <c r="K79" i="9"/>
  <c r="K78" i="9"/>
  <c r="K77" i="9"/>
  <c r="K76" i="9"/>
  <c r="K75" i="9"/>
  <c r="K74" i="9"/>
  <c r="K73" i="9"/>
  <c r="K72" i="9"/>
  <c r="K71" i="9"/>
  <c r="K70" i="9"/>
  <c r="K69" i="9"/>
  <c r="K68" i="9"/>
  <c r="K67" i="9"/>
  <c r="K66" i="9"/>
  <c r="K65" i="9"/>
  <c r="K64" i="9"/>
  <c r="K63" i="9"/>
  <c r="K62" i="9"/>
  <c r="K61" i="9"/>
  <c r="K60" i="9"/>
  <c r="K59" i="9"/>
  <c r="K58" i="9"/>
  <c r="K57" i="9"/>
  <c r="K56" i="9"/>
  <c r="K55" i="9"/>
  <c r="K54" i="9"/>
  <c r="K53" i="9"/>
  <c r="K52" i="9"/>
  <c r="K51" i="9"/>
  <c r="K50" i="9"/>
  <c r="K49" i="9"/>
  <c r="K48" i="9"/>
  <c r="K47" i="9"/>
  <c r="K46" i="9"/>
  <c r="K45" i="9"/>
  <c r="K44" i="9"/>
  <c r="K43" i="9"/>
  <c r="K42" i="9"/>
  <c r="K41" i="9"/>
  <c r="K40" i="9"/>
  <c r="K39" i="9"/>
  <c r="K38" i="9"/>
  <c r="K37" i="9"/>
  <c r="K36" i="9"/>
  <c r="K35" i="9"/>
  <c r="K34" i="9"/>
  <c r="K33" i="9"/>
  <c r="K32" i="9"/>
  <c r="K31" i="9"/>
  <c r="K30" i="9"/>
  <c r="K29" i="9"/>
  <c r="K28" i="9"/>
  <c r="K27" i="9"/>
  <c r="K26" i="9"/>
  <c r="K25" i="9"/>
  <c r="K24" i="9"/>
  <c r="K23" i="9"/>
  <c r="K22" i="9"/>
  <c r="K21" i="9"/>
  <c r="K20" i="9"/>
  <c r="K19" i="9"/>
  <c r="K18" i="9"/>
  <c r="K17" i="9"/>
  <c r="K16" i="9"/>
  <c r="K15" i="9"/>
  <c r="K14" i="9"/>
  <c r="K13" i="9"/>
  <c r="K12" i="9"/>
  <c r="K11" i="9"/>
  <c r="K10" i="9"/>
  <c r="K9" i="9"/>
  <c r="K8" i="9"/>
  <c r="K7" i="9"/>
  <c r="K6" i="9"/>
  <c r="K5" i="9"/>
  <c r="K4" i="9"/>
  <c r="K3" i="9"/>
  <c r="K2" i="9"/>
  <c r="K131" i="9"/>
  <c r="K143" i="9"/>
  <c r="K139" i="9"/>
  <c r="K135" i="9"/>
  <c r="K136" i="9"/>
  <c r="K146" i="9"/>
  <c r="K156" i="9"/>
  <c r="K144" i="9"/>
  <c r="K140" i="9"/>
  <c r="K138" i="9"/>
  <c r="K142" i="9"/>
  <c r="K137" i="9"/>
  <c r="K141" i="9"/>
  <c r="K145" i="9"/>
  <c r="Q2" i="21"/>
  <c r="I4" i="21"/>
  <c r="Q9" i="21"/>
  <c r="L9" i="21" s="1"/>
  <c r="K49" i="6"/>
  <c r="N49" i="6"/>
  <c r="N48" i="6"/>
  <c r="N47" i="6"/>
  <c r="N46" i="6"/>
  <c r="N45" i="6"/>
  <c r="K46" i="6"/>
  <c r="K47" i="6"/>
  <c r="K48" i="6"/>
  <c r="K45" i="6"/>
  <c r="B46" i="6"/>
  <c r="B47" i="6"/>
  <c r="B48" i="6"/>
  <c r="B49" i="6"/>
  <c r="B45" i="6"/>
  <c r="O104" i="20"/>
  <c r="L104" i="20"/>
  <c r="I104" i="20"/>
  <c r="F104" i="20"/>
  <c r="C104" i="20"/>
  <c r="O88" i="6"/>
  <c r="O87" i="6"/>
  <c r="O86" i="6"/>
  <c r="O85" i="6"/>
  <c r="G89" i="6"/>
  <c r="G88" i="6"/>
  <c r="G86" i="6"/>
  <c r="A1" i="20"/>
  <c r="O61" i="6"/>
  <c r="O60" i="6"/>
  <c r="O59" i="6"/>
  <c r="O58" i="6"/>
  <c r="O57" i="6"/>
  <c r="O56" i="6"/>
  <c r="O55" i="6"/>
  <c r="O52" i="6"/>
  <c r="O51" i="6"/>
  <c r="O50" i="6"/>
  <c r="M30" i="2"/>
  <c r="I30" i="2"/>
  <c r="J30" i="2"/>
  <c r="H30" i="2"/>
  <c r="G15" i="6"/>
  <c r="G16" i="6"/>
  <c r="H19" i="8"/>
  <c r="F19" i="8"/>
  <c r="D19" i="8"/>
  <c r="K7" i="6"/>
  <c r="K5" i="6"/>
  <c r="A1" i="6"/>
  <c r="C61" i="6"/>
  <c r="C60" i="6"/>
  <c r="C58" i="6"/>
  <c r="C57" i="6"/>
  <c r="C56" i="6"/>
  <c r="C55" i="6"/>
  <c r="C61" i="14"/>
  <c r="C60" i="14"/>
  <c r="C58" i="14"/>
  <c r="C57" i="14"/>
  <c r="C56" i="14"/>
  <c r="C55" i="14"/>
  <c r="C61" i="13"/>
  <c r="C60" i="13"/>
  <c r="C58" i="13"/>
  <c r="C57" i="13"/>
  <c r="C56" i="13"/>
  <c r="C55" i="13"/>
  <c r="C61" i="5"/>
  <c r="C60" i="5"/>
  <c r="C58" i="5"/>
  <c r="C57" i="5"/>
  <c r="C56" i="5"/>
  <c r="C55" i="5"/>
  <c r="C61" i="4"/>
  <c r="C60" i="4"/>
  <c r="C56" i="4"/>
  <c r="C57" i="4"/>
  <c r="C58" i="4"/>
  <c r="C55" i="4"/>
  <c r="A11" i="2"/>
  <c r="A11" i="4" s="1"/>
  <c r="U68" i="18"/>
  <c r="A43" i="8"/>
  <c r="A42" i="8"/>
  <c r="A41" i="8"/>
  <c r="A40" i="8"/>
  <c r="A39" i="8"/>
  <c r="A38" i="8"/>
  <c r="A37" i="8"/>
  <c r="A36" i="8"/>
  <c r="A35" i="8"/>
  <c r="A34" i="8"/>
  <c r="A33" i="8"/>
  <c r="A32" i="8"/>
  <c r="A31" i="8"/>
  <c r="A30" i="8"/>
  <c r="B29" i="6"/>
  <c r="B28" i="6"/>
  <c r="B27" i="6"/>
  <c r="B26" i="6"/>
  <c r="B25" i="6"/>
  <c r="B24" i="6"/>
  <c r="B23" i="6"/>
  <c r="B22" i="6"/>
  <c r="B21" i="6"/>
  <c r="B20" i="6"/>
  <c r="B19" i="6"/>
  <c r="B18" i="6"/>
  <c r="B17" i="6"/>
  <c r="B16" i="6"/>
  <c r="E31" i="8"/>
  <c r="D31" i="8"/>
  <c r="F31" i="8"/>
  <c r="E32" i="8"/>
  <c r="E33" i="8"/>
  <c r="E34" i="8"/>
  <c r="E35" i="8"/>
  <c r="D35" i="8"/>
  <c r="F35" i="8"/>
  <c r="E36" i="8"/>
  <c r="E37" i="8"/>
  <c r="E38" i="8"/>
  <c r="E39" i="8"/>
  <c r="D39" i="8"/>
  <c r="F39" i="8"/>
  <c r="E40" i="8"/>
  <c r="E41" i="8"/>
  <c r="E42" i="8"/>
  <c r="E43" i="8"/>
  <c r="D43" i="8"/>
  <c r="F43" i="8"/>
  <c r="E30" i="8"/>
  <c r="E29" i="8"/>
  <c r="D32" i="8"/>
  <c r="F32" i="8"/>
  <c r="D33" i="8"/>
  <c r="D34" i="8"/>
  <c r="D36" i="8"/>
  <c r="F36" i="8"/>
  <c r="D37" i="8"/>
  <c r="D38" i="8"/>
  <c r="D40" i="8"/>
  <c r="F40" i="8"/>
  <c r="D41" i="8"/>
  <c r="D42" i="8"/>
  <c r="D30" i="8"/>
  <c r="D29" i="8"/>
  <c r="F33" i="8"/>
  <c r="F34" i="8"/>
  <c r="F37" i="8"/>
  <c r="F38" i="8"/>
  <c r="F41" i="8"/>
  <c r="F42" i="8"/>
  <c r="F30" i="8"/>
  <c r="F29" i="8"/>
  <c r="A29" i="8"/>
  <c r="G29" i="6"/>
  <c r="G28" i="6"/>
  <c r="G27" i="6"/>
  <c r="G26" i="6"/>
  <c r="G25" i="6"/>
  <c r="G24" i="6"/>
  <c r="G23" i="6"/>
  <c r="G22" i="6"/>
  <c r="G21" i="6"/>
  <c r="G20" i="6"/>
  <c r="G19" i="6"/>
  <c r="G18" i="6"/>
  <c r="G17" i="6"/>
  <c r="H13" i="8"/>
  <c r="F13" i="8"/>
  <c r="D13" i="8"/>
  <c r="H7" i="8"/>
  <c r="F7" i="8"/>
  <c r="D7" i="8"/>
  <c r="K8" i="6"/>
  <c r="A3" i="9"/>
  <c r="B3" i="9" s="1"/>
  <c r="A1" i="16"/>
  <c r="B2" i="9"/>
  <c r="D46" i="8"/>
  <c r="H46" i="8" s="1"/>
  <c r="C69" i="6"/>
  <c r="C65" i="6"/>
  <c r="C64" i="6"/>
  <c r="C67" i="6"/>
  <c r="C72" i="6"/>
  <c r="C62" i="6"/>
  <c r="A44" i="20"/>
  <c r="C66" i="6"/>
  <c r="C73" i="6"/>
  <c r="C71" i="6"/>
  <c r="C70" i="6"/>
  <c r="C63" i="6"/>
  <c r="Y39" i="21"/>
  <c r="AD31" i="21"/>
  <c r="Y23" i="21"/>
  <c r="D47" i="8"/>
  <c r="H47" i="8" s="1"/>
  <c r="J47" i="8" s="1"/>
  <c r="Y32" i="21"/>
  <c r="M10" i="21"/>
  <c r="M12" i="21"/>
  <c r="L13" i="21"/>
  <c r="N13" i="21" s="1"/>
  <c r="K149" i="9"/>
  <c r="K152" i="9"/>
  <c r="K155" i="9"/>
  <c r="K148" i="9"/>
  <c r="K154" i="9"/>
  <c r="K150" i="9"/>
  <c r="K147" i="9"/>
  <c r="K157" i="9"/>
  <c r="K151" i="9"/>
  <c r="K153" i="9"/>
  <c r="T6" i="21"/>
  <c r="T14" i="21"/>
  <c r="AD7" i="21"/>
  <c r="Y5" i="21"/>
  <c r="AD8" i="21"/>
  <c r="Y13" i="21"/>
  <c r="B6" i="20"/>
  <c r="K42" i="16"/>
  <c r="G46" i="23"/>
  <c r="AF11" i="23"/>
  <c r="AF13" i="23"/>
  <c r="AF23" i="23"/>
  <c r="AF25" i="23"/>
  <c r="AF35" i="23"/>
  <c r="AF37" i="23"/>
  <c r="AA12" i="23"/>
  <c r="AF14" i="23"/>
  <c r="AF20" i="23"/>
  <c r="AA24" i="23"/>
  <c r="AA27" i="23"/>
  <c r="AA36" i="23"/>
  <c r="AA39" i="23"/>
  <c r="AF17" i="23"/>
  <c r="AF31" i="23"/>
  <c r="E46" i="23"/>
  <c r="K44" i="16"/>
  <c r="C41" i="20"/>
  <c r="B63" i="16"/>
  <c r="K40" i="2"/>
  <c r="B56" i="16" s="1"/>
  <c r="D48" i="8"/>
  <c r="H48" i="8" s="1"/>
  <c r="D45" i="8"/>
  <c r="H45" i="8" s="1"/>
  <c r="J45" i="8" s="1"/>
  <c r="L18" i="23"/>
  <c r="Q24" i="23"/>
  <c r="V30" i="23"/>
  <c r="L30" i="23"/>
  <c r="Q36" i="23"/>
  <c r="K33" i="2"/>
  <c r="B42" i="16" s="1"/>
  <c r="L15" i="23"/>
  <c r="V27" i="23"/>
  <c r="L27" i="23"/>
  <c r="V39" i="23"/>
  <c r="L9" i="23"/>
  <c r="Q30" i="23"/>
  <c r="Q42" i="23"/>
  <c r="T44" i="23"/>
  <c r="T46" i="23" s="1"/>
  <c r="L45" i="23"/>
  <c r="Y45" i="23"/>
  <c r="Y46" i="23" s="1"/>
  <c r="L12" i="23"/>
  <c r="L24" i="23"/>
  <c r="L36" i="23"/>
  <c r="Y44" i="23"/>
  <c r="L21" i="23"/>
  <c r="L33" i="23"/>
  <c r="Q12" i="23"/>
  <c r="L39" i="23"/>
  <c r="V42" i="23"/>
  <c r="L42" i="23"/>
  <c r="J45" i="23"/>
  <c r="V18" i="23"/>
  <c r="L44" i="23"/>
  <c r="J44" i="23"/>
  <c r="J46" i="23" s="1"/>
  <c r="T45" i="23"/>
  <c r="O45" i="23"/>
  <c r="O44" i="23"/>
  <c r="V12" i="23"/>
  <c r="Q21" i="23"/>
  <c r="V24" i="23"/>
  <c r="Q33" i="23"/>
  <c r="V15" i="23"/>
  <c r="Q18" i="23"/>
  <c r="V36" i="23"/>
  <c r="Q15" i="23"/>
  <c r="V21" i="23"/>
  <c r="Q27" i="23"/>
  <c r="V33" i="23"/>
  <c r="Q39" i="23"/>
  <c r="AA15" i="23"/>
  <c r="AA21" i="23"/>
  <c r="AA42" i="23"/>
  <c r="AA30" i="23"/>
  <c r="AA18" i="23"/>
  <c r="AA33" i="23"/>
  <c r="AA44" i="23"/>
  <c r="AA45" i="23"/>
  <c r="AA9" i="23"/>
  <c r="V44" i="23"/>
  <c r="V45" i="23"/>
  <c r="V46" i="23" s="1"/>
  <c r="L46" i="23"/>
  <c r="Q45" i="23"/>
  <c r="V9" i="23"/>
  <c r="Q44" i="23"/>
  <c r="Q9" i="23"/>
  <c r="AF8" i="23"/>
  <c r="AF29" i="23"/>
  <c r="AF40" i="23"/>
  <c r="AF16" i="23"/>
  <c r="AF38" i="23"/>
  <c r="AF41" i="23"/>
  <c r="AF22" i="23"/>
  <c r="AF32" i="23"/>
  <c r="AF10" i="23"/>
  <c r="AF26" i="23"/>
  <c r="AF34" i="23"/>
  <c r="AF19" i="23"/>
  <c r="AF28" i="23"/>
  <c r="AF7" i="23"/>
  <c r="O46" i="23"/>
  <c r="Q46" i="23"/>
  <c r="I77" i="4"/>
  <c r="B15" i="14" l="1"/>
  <c r="B22" i="14"/>
  <c r="B17" i="14"/>
  <c r="B23" i="14"/>
  <c r="B29" i="14"/>
  <c r="B21" i="14"/>
  <c r="B25" i="14"/>
  <c r="B16" i="14"/>
  <c r="B28" i="14"/>
  <c r="B20" i="14"/>
  <c r="B18" i="14"/>
  <c r="B24" i="14"/>
  <c r="B27" i="14"/>
  <c r="B19" i="14"/>
  <c r="B26" i="14"/>
  <c r="B22" i="5"/>
  <c r="B18" i="5"/>
  <c r="B24" i="5"/>
  <c r="B29" i="5"/>
  <c r="B21" i="5"/>
  <c r="B26" i="5"/>
  <c r="B23" i="5"/>
  <c r="B28" i="5"/>
  <c r="B20" i="5"/>
  <c r="B25" i="5"/>
  <c r="B15" i="5"/>
  <c r="B27" i="5"/>
  <c r="B19" i="5"/>
  <c r="B17" i="5"/>
  <c r="B16" i="5"/>
  <c r="K48" i="18"/>
  <c r="F63" i="20"/>
  <c r="C63" i="16"/>
  <c r="E63" i="20"/>
  <c r="J48" i="18"/>
  <c r="J72" i="4"/>
  <c r="B86" i="16"/>
  <c r="B84" i="20"/>
  <c r="A4" i="9"/>
  <c r="D34" i="14"/>
  <c r="C63" i="20"/>
  <c r="D63" i="16"/>
  <c r="N63" i="20"/>
  <c r="A11" i="6"/>
  <c r="B15" i="6" s="1"/>
  <c r="H63" i="20"/>
  <c r="G25" i="4"/>
  <c r="I25" i="4" s="1"/>
  <c r="AC29" i="20" s="1"/>
  <c r="A44" i="16"/>
  <c r="Q27" i="4"/>
  <c r="B40" i="4"/>
  <c r="M40" i="4" s="1"/>
  <c r="AV58" i="20" s="1"/>
  <c r="AA53" i="26" s="1"/>
  <c r="D34" i="5"/>
  <c r="B51" i="20"/>
  <c r="D34" i="6"/>
  <c r="AR45" i="20"/>
  <c r="A45" i="20"/>
  <c r="B19" i="16"/>
  <c r="A46" i="20"/>
  <c r="V45" i="20"/>
  <c r="A45" i="16"/>
  <c r="E5" i="23"/>
  <c r="G19" i="4"/>
  <c r="I19" i="4" s="1"/>
  <c r="AC17" i="20" s="1"/>
  <c r="B43" i="20"/>
  <c r="B15" i="4"/>
  <c r="Q29" i="13"/>
  <c r="G20" i="4"/>
  <c r="H20" i="4" s="1"/>
  <c r="Q18" i="16" s="1"/>
  <c r="B15" i="16"/>
  <c r="B16" i="4"/>
  <c r="G29" i="4"/>
  <c r="H29" i="4" s="1"/>
  <c r="AB37" i="20" s="1"/>
  <c r="Q26" i="13"/>
  <c r="Q23" i="13"/>
  <c r="B6" i="16"/>
  <c r="Q27" i="13"/>
  <c r="B25" i="4"/>
  <c r="G22" i="4"/>
  <c r="H22" i="4" s="1"/>
  <c r="Q25" i="13"/>
  <c r="N60" i="4"/>
  <c r="N86" i="4"/>
  <c r="B39" i="4"/>
  <c r="M39" i="4" s="1"/>
  <c r="AV56" i="20" s="1"/>
  <c r="AA51" i="26" s="1"/>
  <c r="D37" i="13"/>
  <c r="A46" i="26"/>
  <c r="W46" i="26"/>
  <c r="K61" i="4"/>
  <c r="C75" i="16" s="1"/>
  <c r="K60" i="4"/>
  <c r="C74" i="16" s="1"/>
  <c r="B19" i="4"/>
  <c r="V43" i="20"/>
  <c r="AR43" i="20"/>
  <c r="E62" i="16"/>
  <c r="K46" i="16"/>
  <c r="W42" i="26"/>
  <c r="A42" i="26"/>
  <c r="K55" i="4"/>
  <c r="E67" i="20" s="1"/>
  <c r="B29" i="4"/>
  <c r="B23" i="4"/>
  <c r="B62" i="16"/>
  <c r="D33" i="4"/>
  <c r="A43" i="20"/>
  <c r="V53" i="20"/>
  <c r="W48" i="26"/>
  <c r="A48" i="26"/>
  <c r="N43" i="16"/>
  <c r="Y44" i="20"/>
  <c r="D39" i="26" s="1"/>
  <c r="N18" i="2"/>
  <c r="C14" i="20" s="1"/>
  <c r="Q29" i="5"/>
  <c r="G27" i="4"/>
  <c r="I27" i="4" s="1"/>
  <c r="AC33" i="20" s="1"/>
  <c r="Q25" i="5"/>
  <c r="K56" i="16"/>
  <c r="A52" i="26"/>
  <c r="W52" i="26"/>
  <c r="A58" i="20"/>
  <c r="B37" i="4"/>
  <c r="M37" i="4" s="1"/>
  <c r="AV52" i="20" s="1"/>
  <c r="AA47" i="26" s="1"/>
  <c r="N55" i="4"/>
  <c r="F67" i="20" s="1"/>
  <c r="B22" i="4"/>
  <c r="B17" i="4"/>
  <c r="B26" i="4"/>
  <c r="K63" i="20"/>
  <c r="D33" i="14"/>
  <c r="D33" i="13"/>
  <c r="B36" i="4"/>
  <c r="M36" i="4" s="1"/>
  <c r="AV50" i="20" s="1"/>
  <c r="AA45" i="26" s="1"/>
  <c r="Q21" i="13"/>
  <c r="Q18" i="5"/>
  <c r="B35" i="4"/>
  <c r="M35" i="4" s="1"/>
  <c r="AV48" i="20" s="1"/>
  <c r="AA43" i="26" s="1"/>
  <c r="Q28" i="5"/>
  <c r="G24" i="4"/>
  <c r="M24" i="4" s="1"/>
  <c r="AV27" i="20" s="1"/>
  <c r="AA22" i="26" s="1"/>
  <c r="Q21" i="5"/>
  <c r="N61" i="4"/>
  <c r="F73" i="20" s="1"/>
  <c r="A57" i="20"/>
  <c r="K58" i="4"/>
  <c r="C72" i="16" s="1"/>
  <c r="N58" i="4"/>
  <c r="F70" i="20" s="1"/>
  <c r="A49" i="16"/>
  <c r="A44" i="26"/>
  <c r="W44" i="26"/>
  <c r="D34" i="4"/>
  <c r="W40" i="26"/>
  <c r="A40" i="26"/>
  <c r="B34" i="4"/>
  <c r="M34" i="4" s="1"/>
  <c r="AV46" i="20" s="1"/>
  <c r="AA41" i="26" s="1"/>
  <c r="G28" i="4"/>
  <c r="H28" i="4" s="1"/>
  <c r="G21" i="4"/>
  <c r="H21" i="4" s="1"/>
  <c r="AB21" i="20" s="1"/>
  <c r="V55" i="20"/>
  <c r="W50" i="26"/>
  <c r="A50" i="26"/>
  <c r="A55" i="16"/>
  <c r="A56" i="20"/>
  <c r="D33" i="6"/>
  <c r="A38" i="26"/>
  <c r="W38" i="26"/>
  <c r="N41" i="16"/>
  <c r="Y42" i="20"/>
  <c r="D37" i="26" s="1"/>
  <c r="B24" i="4"/>
  <c r="B21" i="4"/>
  <c r="A54" i="16"/>
  <c r="B20" i="4"/>
  <c r="B27" i="4"/>
  <c r="N56" i="4"/>
  <c r="F68" i="20" s="1"/>
  <c r="B28" i="4"/>
  <c r="V57" i="20"/>
  <c r="A42" i="16"/>
  <c r="N57" i="4"/>
  <c r="O58" i="18" s="1"/>
  <c r="B33" i="4"/>
  <c r="M33" i="4" s="1"/>
  <c r="AV44" i="20" s="1"/>
  <c r="AA39" i="26" s="1"/>
  <c r="K57" i="4"/>
  <c r="E69" i="20" s="1"/>
  <c r="B18" i="4"/>
  <c r="B25" i="16"/>
  <c r="K56" i="4"/>
  <c r="E68" i="20" s="1"/>
  <c r="A43" i="16"/>
  <c r="A42" i="20"/>
  <c r="A36" i="26"/>
  <c r="W36" i="26"/>
  <c r="G23" i="4"/>
  <c r="I23" i="4" s="1"/>
  <c r="AC25" i="20" s="1"/>
  <c r="J63" i="2"/>
  <c r="B75" i="20"/>
  <c r="N21" i="2"/>
  <c r="C20" i="20" s="1"/>
  <c r="B77" i="16"/>
  <c r="AB23" i="20"/>
  <c r="Q22" i="16"/>
  <c r="A32" i="20"/>
  <c r="G17" i="4"/>
  <c r="H17" i="4" s="1"/>
  <c r="B87" i="16"/>
  <c r="Y41" i="21"/>
  <c r="J71" i="4"/>
  <c r="B85" i="16"/>
  <c r="J71" i="2"/>
  <c r="B83" i="20"/>
  <c r="AD17" i="21"/>
  <c r="T23" i="21"/>
  <c r="T24" i="21"/>
  <c r="M11" i="21"/>
  <c r="N11" i="21" s="1"/>
  <c r="D36" i="4"/>
  <c r="T5" i="21"/>
  <c r="T9" i="21" s="1"/>
  <c r="Y6" i="21"/>
  <c r="Y9" i="21" s="1"/>
  <c r="AD6" i="21"/>
  <c r="AD9" i="21" s="1"/>
  <c r="T15" i="21"/>
  <c r="AD24" i="21"/>
  <c r="T29" i="21"/>
  <c r="AD40" i="21"/>
  <c r="Y14" i="21"/>
  <c r="Y17" i="21" s="1"/>
  <c r="T21" i="21"/>
  <c r="T25" i="21" s="1"/>
  <c r="AD23" i="21"/>
  <c r="Y30" i="21"/>
  <c r="T37" i="21"/>
  <c r="T41" i="21" s="1"/>
  <c r="AD39" i="21"/>
  <c r="K190" i="9"/>
  <c r="K191" i="9"/>
  <c r="V49" i="20"/>
  <c r="AD32" i="21"/>
  <c r="AD33" i="21" s="1"/>
  <c r="A48" i="16"/>
  <c r="A2" i="16"/>
  <c r="Y31" i="21"/>
  <c r="T38" i="21"/>
  <c r="AD14" i="21"/>
  <c r="K186" i="9"/>
  <c r="K183" i="9"/>
  <c r="K193" i="9"/>
  <c r="Y25" i="21"/>
  <c r="AR41" i="20"/>
  <c r="K189" i="9"/>
  <c r="L206" i="9"/>
  <c r="K200" i="9" s="1"/>
  <c r="K197" i="9"/>
  <c r="AD21" i="23"/>
  <c r="K66" i="4" s="1"/>
  <c r="K66" i="5" s="1"/>
  <c r="AD15" i="23"/>
  <c r="K64" i="4" s="1"/>
  <c r="E76" i="20" s="1"/>
  <c r="B80" i="16"/>
  <c r="Q22" i="13"/>
  <c r="Q20" i="14"/>
  <c r="A26" i="20"/>
  <c r="J70" i="2"/>
  <c r="N16" i="2"/>
  <c r="C10" i="20" s="1"/>
  <c r="A18" i="16"/>
  <c r="J70" i="4"/>
  <c r="J64" i="2"/>
  <c r="A19" i="20"/>
  <c r="J73" i="2"/>
  <c r="J69" i="4"/>
  <c r="B85" i="20"/>
  <c r="A34" i="20"/>
  <c r="J64" i="4"/>
  <c r="B78" i="16"/>
  <c r="Q24" i="5"/>
  <c r="Q20" i="13"/>
  <c r="B31" i="16"/>
  <c r="N24" i="2"/>
  <c r="C26" i="20" s="1"/>
  <c r="Q24" i="4"/>
  <c r="Q28" i="4"/>
  <c r="Q29" i="4"/>
  <c r="Q26" i="4"/>
  <c r="Q23" i="4"/>
  <c r="Q22" i="4"/>
  <c r="Q27" i="14"/>
  <c r="Q26" i="5"/>
  <c r="Q23" i="5"/>
  <c r="Q20" i="5"/>
  <c r="Q20" i="4"/>
  <c r="Q17" i="4"/>
  <c r="K76" i="5"/>
  <c r="D91" i="16" s="1"/>
  <c r="N19" i="2"/>
  <c r="C16" i="20" s="1"/>
  <c r="J48" i="8"/>
  <c r="J46" i="8"/>
  <c r="A21" i="16"/>
  <c r="B81" i="16"/>
  <c r="J67" i="2"/>
  <c r="J67" i="4"/>
  <c r="B74" i="20"/>
  <c r="A17" i="20"/>
  <c r="B82" i="20"/>
  <c r="AD30" i="23"/>
  <c r="K69" i="4" s="1"/>
  <c r="E81" i="20" s="1"/>
  <c r="Q16" i="13"/>
  <c r="B77" i="20"/>
  <c r="J65" i="4"/>
  <c r="AF36" i="23"/>
  <c r="N71" i="4" s="1"/>
  <c r="F83" i="20" s="1"/>
  <c r="A31" i="20"/>
  <c r="J65" i="2"/>
  <c r="B32" i="4"/>
  <c r="H32" i="4" s="1"/>
  <c r="Q29" i="14"/>
  <c r="Q28" i="13"/>
  <c r="Q27" i="5"/>
  <c r="G26" i="4"/>
  <c r="H26" i="4" s="1"/>
  <c r="Q25" i="4"/>
  <c r="Q23" i="14"/>
  <c r="Q22" i="5"/>
  <c r="Q19" i="5"/>
  <c r="L14" i="21"/>
  <c r="K52" i="2" s="1"/>
  <c r="K52" i="4" s="1"/>
  <c r="C66" i="16" s="1"/>
  <c r="T16" i="21"/>
  <c r="AD37" i="21"/>
  <c r="T30" i="21"/>
  <c r="T13" i="21"/>
  <c r="T32" i="21"/>
  <c r="AD38" i="21"/>
  <c r="T31" i="21"/>
  <c r="AD22" i="21"/>
  <c r="M9" i="21"/>
  <c r="M14" i="21" s="1"/>
  <c r="AD21" i="21"/>
  <c r="O63" i="20"/>
  <c r="K50" i="6"/>
  <c r="F62" i="16"/>
  <c r="L63" i="20"/>
  <c r="I63" i="20"/>
  <c r="M22" i="4"/>
  <c r="G63" i="16"/>
  <c r="H38" i="8"/>
  <c r="J38" i="8" s="1"/>
  <c r="H35" i="8"/>
  <c r="J35" i="8" s="1"/>
  <c r="A2" i="20"/>
  <c r="B63" i="20"/>
  <c r="AD9" i="23"/>
  <c r="K62" i="4" s="1"/>
  <c r="J62" i="5" s="1"/>
  <c r="AD33" i="23"/>
  <c r="K70" i="4" s="1"/>
  <c r="C84" i="16" s="1"/>
  <c r="Q21" i="4"/>
  <c r="Q17" i="13"/>
  <c r="Q15" i="13"/>
  <c r="AR57" i="20"/>
  <c r="G16" i="4"/>
  <c r="M16" i="4" s="1"/>
  <c r="AF42" i="23"/>
  <c r="N73" i="6" s="1"/>
  <c r="A11" i="16"/>
  <c r="A36" i="20"/>
  <c r="H41" i="8"/>
  <c r="J41" i="8" s="1"/>
  <c r="AD27" i="23"/>
  <c r="K68" i="4" s="1"/>
  <c r="K68" i="5" s="1"/>
  <c r="AD39" i="23"/>
  <c r="K72" i="4" s="1"/>
  <c r="E84" i="20" s="1"/>
  <c r="A47" i="20"/>
  <c r="B57" i="20"/>
  <c r="A20" i="20"/>
  <c r="D35" i="14"/>
  <c r="A11" i="13"/>
  <c r="A28" i="20"/>
  <c r="I2" i="21"/>
  <c r="A12" i="22"/>
  <c r="P12" i="22" s="1"/>
  <c r="V47" i="20"/>
  <c r="D35" i="6"/>
  <c r="D35" i="13"/>
  <c r="A56" i="16"/>
  <c r="A11" i="5"/>
  <c r="A11" i="14"/>
  <c r="H43" i="8"/>
  <c r="J43" i="8" s="1"/>
  <c r="I29" i="4"/>
  <c r="AF24" i="23"/>
  <c r="N67" i="4" s="1"/>
  <c r="F79" i="20" s="1"/>
  <c r="B52" i="16"/>
  <c r="K50" i="16"/>
  <c r="AR47" i="20"/>
  <c r="D37" i="6"/>
  <c r="D35" i="4"/>
  <c r="D37" i="5"/>
  <c r="D35" i="5"/>
  <c r="A48" i="20"/>
  <c r="A47" i="16"/>
  <c r="A30" i="16"/>
  <c r="AD12" i="23"/>
  <c r="K63" i="4" s="1"/>
  <c r="E75" i="20" s="1"/>
  <c r="AD24" i="23"/>
  <c r="K67" i="4" s="1"/>
  <c r="E79" i="20" s="1"/>
  <c r="AD36" i="23"/>
  <c r="K71" i="4" s="1"/>
  <c r="J71" i="5" s="1"/>
  <c r="AF27" i="23"/>
  <c r="N68" i="4" s="1"/>
  <c r="N17" i="2"/>
  <c r="C12" i="20" s="1"/>
  <c r="K48" i="16"/>
  <c r="H40" i="8"/>
  <c r="J40" i="8" s="1"/>
  <c r="N25" i="2"/>
  <c r="C28" i="20" s="1"/>
  <c r="H29" i="8"/>
  <c r="J29" i="8" s="1"/>
  <c r="K32" i="2"/>
  <c r="B41" i="20" s="1"/>
  <c r="H33" i="8"/>
  <c r="J33" i="8" s="1"/>
  <c r="H30" i="8"/>
  <c r="J30" i="8" s="1"/>
  <c r="H39" i="8"/>
  <c r="J39" i="8" s="1"/>
  <c r="H34" i="8"/>
  <c r="J34" i="8" s="1"/>
  <c r="D44" i="8"/>
  <c r="H44" i="8" s="1"/>
  <c r="A13" i="20"/>
  <c r="A53" i="20"/>
  <c r="A34" i="16"/>
  <c r="A52" i="20"/>
  <c r="AR53" i="20"/>
  <c r="B7" i="16"/>
  <c r="A50" i="20"/>
  <c r="A54" i="20"/>
  <c r="A19" i="16"/>
  <c r="D37" i="4"/>
  <c r="A49" i="20"/>
  <c r="H42" i="8"/>
  <c r="J42" i="8" s="1"/>
  <c r="H36" i="8"/>
  <c r="J36" i="8" s="1"/>
  <c r="Q16" i="5"/>
  <c r="B13" i="16"/>
  <c r="B14" i="20"/>
  <c r="B54" i="16"/>
  <c r="B55" i="20"/>
  <c r="AF18" i="23"/>
  <c r="N65" i="6" s="1"/>
  <c r="A23" i="20"/>
  <c r="A46" i="16"/>
  <c r="K52" i="16"/>
  <c r="D36" i="13"/>
  <c r="A41" i="20"/>
  <c r="D36" i="14"/>
  <c r="A51" i="16"/>
  <c r="AR51" i="20"/>
  <c r="V51" i="20"/>
  <c r="K40" i="16"/>
  <c r="A53" i="16"/>
  <c r="K54" i="16"/>
  <c r="K76" i="2"/>
  <c r="B91" i="16" s="1"/>
  <c r="A52" i="16"/>
  <c r="AR55" i="20"/>
  <c r="D36" i="6"/>
  <c r="A23" i="16"/>
  <c r="D36" i="5"/>
  <c r="N50" i="6"/>
  <c r="H32" i="8"/>
  <c r="J32" i="8" s="1"/>
  <c r="A76" i="4"/>
  <c r="K76" i="6"/>
  <c r="C70" i="16"/>
  <c r="A10" i="20"/>
  <c r="AR49" i="20"/>
  <c r="A25" i="16"/>
  <c r="D37" i="14"/>
  <c r="A40" i="16"/>
  <c r="K35" i="2"/>
  <c r="V41" i="20"/>
  <c r="A10" i="16"/>
  <c r="A76" i="5"/>
  <c r="N23" i="2"/>
  <c r="C24" i="20" s="1"/>
  <c r="AF39" i="23"/>
  <c r="N72" i="4" s="1"/>
  <c r="F84" i="20" s="1"/>
  <c r="A50" i="16"/>
  <c r="A41" i="16"/>
  <c r="A51" i="20"/>
  <c r="AF15" i="23"/>
  <c r="N64" i="6" s="1"/>
  <c r="A36" i="16"/>
  <c r="T48" i="18"/>
  <c r="AD18" i="23"/>
  <c r="K65" i="4" s="1"/>
  <c r="E77" i="20" s="1"/>
  <c r="A89" i="20"/>
  <c r="A55" i="20"/>
  <c r="H37" i="8"/>
  <c r="J37" i="8" s="1"/>
  <c r="A14" i="16"/>
  <c r="Q17" i="5"/>
  <c r="AF21" i="23"/>
  <c r="N66" i="4" s="1"/>
  <c r="F78" i="20" s="1"/>
  <c r="A15" i="16"/>
  <c r="A16" i="16"/>
  <c r="A24" i="20"/>
  <c r="A25" i="20"/>
  <c r="J68" i="2"/>
  <c r="B82" i="16"/>
  <c r="I66" i="18"/>
  <c r="C76" i="20"/>
  <c r="N88" i="2"/>
  <c r="C103" i="20" s="1"/>
  <c r="N66" i="18"/>
  <c r="S48" i="18"/>
  <c r="B80" i="20"/>
  <c r="A15" i="20"/>
  <c r="A14" i="20"/>
  <c r="A28" i="16"/>
  <c r="A27" i="16"/>
  <c r="H31" i="8"/>
  <c r="J31" i="8" s="1"/>
  <c r="A31" i="16"/>
  <c r="A32" i="16"/>
  <c r="AD44" i="23"/>
  <c r="J66" i="4"/>
  <c r="B78" i="20"/>
  <c r="K20" i="2"/>
  <c r="N20" i="2"/>
  <c r="C18" i="20" s="1"/>
  <c r="K26" i="2"/>
  <c r="N26" i="2"/>
  <c r="C30" i="20" s="1"/>
  <c r="AD45" i="23"/>
  <c r="AF33" i="23"/>
  <c r="N70" i="6" s="1"/>
  <c r="J62" i="2"/>
  <c r="J62" i="4"/>
  <c r="AF30" i="23"/>
  <c r="N69" i="4" s="1"/>
  <c r="F81" i="20" s="1"/>
  <c r="B81" i="20"/>
  <c r="J69" i="2"/>
  <c r="AD42" i="23"/>
  <c r="B38" i="4"/>
  <c r="H38" i="4" s="1"/>
  <c r="N15" i="2"/>
  <c r="C8" i="20" s="1"/>
  <c r="Q24" i="13"/>
  <c r="Q22" i="14"/>
  <c r="Q21" i="14"/>
  <c r="Q19" i="13"/>
  <c r="Q19" i="4"/>
  <c r="G18" i="4"/>
  <c r="H18" i="4" s="1"/>
  <c r="Q16" i="4"/>
  <c r="A5" i="5"/>
  <c r="Q18" i="4"/>
  <c r="G15" i="4"/>
  <c r="J15" i="4" s="1"/>
  <c r="H40" i="4"/>
  <c r="AA46" i="23"/>
  <c r="B23" i="16"/>
  <c r="B24" i="20"/>
  <c r="B27" i="16"/>
  <c r="B28" i="20"/>
  <c r="B11" i="16"/>
  <c r="B12" i="20"/>
  <c r="B21" i="16"/>
  <c r="B22" i="20"/>
  <c r="B10" i="20"/>
  <c r="B9" i="16"/>
  <c r="K76" i="13"/>
  <c r="E91" i="16" s="1"/>
  <c r="A76" i="2"/>
  <c r="N27" i="2"/>
  <c r="C32" i="20" s="1"/>
  <c r="N22" i="2"/>
  <c r="C22" i="20" s="1"/>
  <c r="K29" i="2"/>
  <c r="A76" i="6"/>
  <c r="K76" i="14"/>
  <c r="F91" i="16" s="1"/>
  <c r="Q89" i="20"/>
  <c r="G91" i="16"/>
  <c r="K76" i="4"/>
  <c r="C91" i="16" s="1"/>
  <c r="O31" i="18"/>
  <c r="AF45" i="23"/>
  <c r="AF9" i="23"/>
  <c r="AF12" i="23"/>
  <c r="AF44" i="23"/>
  <c r="B48" i="16"/>
  <c r="B45" i="20"/>
  <c r="K10" i="4"/>
  <c r="K28" i="2"/>
  <c r="N28" i="2"/>
  <c r="A76" i="13"/>
  <c r="A76" i="14"/>
  <c r="K199" i="9"/>
  <c r="K206" i="9"/>
  <c r="K195" i="9"/>
  <c r="K205" i="9"/>
  <c r="K204" i="9"/>
  <c r="J22" i="4"/>
  <c r="Q17" i="14"/>
  <c r="Q16" i="14"/>
  <c r="I22" i="4"/>
  <c r="Q19" i="14"/>
  <c r="Q18" i="14"/>
  <c r="P19" i="4"/>
  <c r="P35" i="4"/>
  <c r="P29" i="4"/>
  <c r="P32" i="4"/>
  <c r="P37" i="4"/>
  <c r="P40" i="4"/>
  <c r="P38" i="4"/>
  <c r="P15" i="4"/>
  <c r="P18" i="4"/>
  <c r="P36" i="4"/>
  <c r="P26" i="4"/>
  <c r="P34" i="4"/>
  <c r="P27" i="4"/>
  <c r="P23" i="4"/>
  <c r="P16" i="4"/>
  <c r="P22" i="4"/>
  <c r="P21" i="4"/>
  <c r="P39" i="4"/>
  <c r="P24" i="4"/>
  <c r="P17" i="4"/>
  <c r="P28" i="4"/>
  <c r="P33" i="4"/>
  <c r="P25" i="4"/>
  <c r="P20" i="4"/>
  <c r="D39" i="4" l="1"/>
  <c r="J5" i="23"/>
  <c r="C6" i="16"/>
  <c r="E6" i="20"/>
  <c r="H37" i="4"/>
  <c r="Q51" i="16" s="1"/>
  <c r="H36" i="4"/>
  <c r="H39" i="4"/>
  <c r="AB56" i="20" s="1"/>
  <c r="C69" i="16"/>
  <c r="I17" i="4"/>
  <c r="R12" i="16" s="1"/>
  <c r="M29" i="4"/>
  <c r="O21" i="18" s="1"/>
  <c r="J17" i="4"/>
  <c r="J56" i="18"/>
  <c r="O27" i="18"/>
  <c r="J29" i="4"/>
  <c r="AD37" i="20" s="1"/>
  <c r="J54" i="18"/>
  <c r="H35" i="4"/>
  <c r="Q47" i="16" s="1"/>
  <c r="Q36" i="16"/>
  <c r="N39" i="4"/>
  <c r="F55" i="20" s="1"/>
  <c r="J60" i="18"/>
  <c r="H34" i="4"/>
  <c r="Q45" i="16" s="1"/>
  <c r="J64" i="18"/>
  <c r="B38" i="5"/>
  <c r="J58" i="18"/>
  <c r="H33" i="4"/>
  <c r="K33" i="4" s="1"/>
  <c r="F72" i="20"/>
  <c r="O64" i="18"/>
  <c r="D40" i="4"/>
  <c r="O32" i="18"/>
  <c r="A5" i="9"/>
  <c r="B4" i="9"/>
  <c r="H25" i="4"/>
  <c r="Q28" i="16" s="1"/>
  <c r="I21" i="4"/>
  <c r="AC21" i="20" s="1"/>
  <c r="J25" i="4"/>
  <c r="AD29" i="20" s="1"/>
  <c r="I24" i="26" s="1"/>
  <c r="M25" i="4"/>
  <c r="N25" i="4" s="1"/>
  <c r="F28" i="20" s="1"/>
  <c r="J23" i="4"/>
  <c r="AD25" i="20" s="1"/>
  <c r="R28" i="16"/>
  <c r="H27" i="4"/>
  <c r="AB33" i="20" s="1"/>
  <c r="R24" i="16"/>
  <c r="M27" i="4"/>
  <c r="AV33" i="20" s="1"/>
  <c r="M19" i="4"/>
  <c r="AV17" i="20" s="1"/>
  <c r="M26" i="4"/>
  <c r="AV31" i="20" s="1"/>
  <c r="J19" i="4"/>
  <c r="S16" i="16" s="1"/>
  <c r="M21" i="4"/>
  <c r="O13" i="18" s="1"/>
  <c r="J21" i="4"/>
  <c r="AD21" i="20" s="1"/>
  <c r="H19" i="4"/>
  <c r="AB17" i="20" s="1"/>
  <c r="O60" i="18"/>
  <c r="O29" i="18"/>
  <c r="R16" i="16"/>
  <c r="E73" i="20"/>
  <c r="C71" i="16"/>
  <c r="H23" i="4"/>
  <c r="Q20" i="16"/>
  <c r="J27" i="4"/>
  <c r="AD33" i="20" s="1"/>
  <c r="M17" i="4"/>
  <c r="AV13" i="20" s="1"/>
  <c r="R32" i="16"/>
  <c r="O28" i="18"/>
  <c r="J20" i="4"/>
  <c r="AD19" i="20" s="1"/>
  <c r="M23" i="4"/>
  <c r="N23" i="4" s="1"/>
  <c r="F24" i="20" s="1"/>
  <c r="AB19" i="20"/>
  <c r="G14" i="26" s="1"/>
  <c r="K72" i="5"/>
  <c r="H84" i="20" s="1"/>
  <c r="N70" i="4"/>
  <c r="F82" i="20" s="1"/>
  <c r="O56" i="18"/>
  <c r="E72" i="20"/>
  <c r="M20" i="4"/>
  <c r="AV19" i="20" s="1"/>
  <c r="AA14" i="26" s="1"/>
  <c r="J72" i="5"/>
  <c r="I20" i="4"/>
  <c r="C86" i="16"/>
  <c r="N35" i="4"/>
  <c r="F47" i="20" s="1"/>
  <c r="G62" i="16"/>
  <c r="O16" i="18"/>
  <c r="M28" i="4"/>
  <c r="AV35" i="20" s="1"/>
  <c r="AA30" i="26" s="1"/>
  <c r="G25" i="5"/>
  <c r="I28" i="4"/>
  <c r="AC35" i="20" s="1"/>
  <c r="J28" i="4"/>
  <c r="AD35" i="20" s="1"/>
  <c r="O54" i="18"/>
  <c r="F69" i="20"/>
  <c r="O25" i="18"/>
  <c r="Q63" i="20"/>
  <c r="E70" i="20"/>
  <c r="J24" i="4"/>
  <c r="AD27" i="20" s="1"/>
  <c r="I24" i="4"/>
  <c r="AC27" i="20" s="1"/>
  <c r="N33" i="4"/>
  <c r="F43" i="20" s="1"/>
  <c r="O26" i="18"/>
  <c r="H24" i="4"/>
  <c r="AB27" i="20" s="1"/>
  <c r="N37" i="4"/>
  <c r="F51" i="20" s="1"/>
  <c r="N34" i="4"/>
  <c r="F45" i="20" s="1"/>
  <c r="Q12" i="16"/>
  <c r="AB13" i="20"/>
  <c r="G8" i="26" s="1"/>
  <c r="AD13" i="20"/>
  <c r="S12" i="16"/>
  <c r="H24" i="26"/>
  <c r="G16" i="26"/>
  <c r="AD17" i="20"/>
  <c r="O8" i="18"/>
  <c r="AV11" i="20"/>
  <c r="O14" i="18"/>
  <c r="AV23" i="20"/>
  <c r="AA18" i="26" s="1"/>
  <c r="AB35" i="20"/>
  <c r="Q34" i="16"/>
  <c r="AV37" i="20"/>
  <c r="O17" i="18"/>
  <c r="G32" i="26"/>
  <c r="C85" i="16"/>
  <c r="S24" i="16"/>
  <c r="H20" i="26"/>
  <c r="AD23" i="20"/>
  <c r="S22" i="16"/>
  <c r="Q41" i="16"/>
  <c r="AB42" i="20"/>
  <c r="H12" i="26"/>
  <c r="H28" i="26"/>
  <c r="G29" i="5"/>
  <c r="S18" i="16"/>
  <c r="Q57" i="16"/>
  <c r="AB58" i="20"/>
  <c r="AB15" i="20"/>
  <c r="Q14" i="16"/>
  <c r="K59" i="4"/>
  <c r="E71" i="20" s="1"/>
  <c r="AB54" i="20"/>
  <c r="Q53" i="16"/>
  <c r="AC23" i="20"/>
  <c r="R22" i="16"/>
  <c r="R36" i="16"/>
  <c r="AC37" i="20"/>
  <c r="AD9" i="20"/>
  <c r="S8" i="16"/>
  <c r="AC13" i="20"/>
  <c r="AB31" i="20"/>
  <c r="Q30" i="16"/>
  <c r="AB50" i="20"/>
  <c r="G45" i="26" s="1"/>
  <c r="Q49" i="16"/>
  <c r="G18" i="26"/>
  <c r="K201" i="9"/>
  <c r="G15" i="5"/>
  <c r="M15" i="5" s="1"/>
  <c r="E82" i="20"/>
  <c r="N69" i="6"/>
  <c r="C76" i="16"/>
  <c r="K51" i="4"/>
  <c r="C65" i="16" s="1"/>
  <c r="N66" i="5"/>
  <c r="N66" i="13" s="1"/>
  <c r="T17" i="21"/>
  <c r="G21" i="5"/>
  <c r="B40" i="16"/>
  <c r="N51" i="4"/>
  <c r="F64" i="20" s="1"/>
  <c r="K67" i="5"/>
  <c r="H79" i="20" s="1"/>
  <c r="Y33" i="21"/>
  <c r="J67" i="5"/>
  <c r="K203" i="9"/>
  <c r="K198" i="9"/>
  <c r="L218" i="9"/>
  <c r="N53" i="2"/>
  <c r="N51" i="18" s="1"/>
  <c r="T33" i="21"/>
  <c r="N9" i="21"/>
  <c r="N14" i="21" s="1"/>
  <c r="K196" i="9"/>
  <c r="K202" i="9"/>
  <c r="K71" i="5"/>
  <c r="H83" i="20" s="1"/>
  <c r="N71" i="6"/>
  <c r="N67" i="6"/>
  <c r="J26" i="4"/>
  <c r="C81" i="16"/>
  <c r="N36" i="4"/>
  <c r="F49" i="20" s="1"/>
  <c r="C78" i="16"/>
  <c r="K32" i="4"/>
  <c r="E65" i="20"/>
  <c r="E74" i="20"/>
  <c r="K64" i="5"/>
  <c r="K64" i="13" s="1"/>
  <c r="C77" i="16"/>
  <c r="J64" i="5"/>
  <c r="C83" i="16"/>
  <c r="K63" i="5"/>
  <c r="D77" i="16" s="1"/>
  <c r="N72" i="6"/>
  <c r="N68" i="6"/>
  <c r="J69" i="5"/>
  <c r="N73" i="4"/>
  <c r="N73" i="5" s="1"/>
  <c r="R63" i="20"/>
  <c r="I16" i="4"/>
  <c r="K62" i="5"/>
  <c r="J62" i="13" s="1"/>
  <c r="E83" i="20"/>
  <c r="K69" i="5"/>
  <c r="I26" i="4"/>
  <c r="N22" i="4"/>
  <c r="F22" i="20" s="1"/>
  <c r="N24" i="4"/>
  <c r="F26" i="20" s="1"/>
  <c r="J44" i="8"/>
  <c r="H80" i="20"/>
  <c r="D82" i="16"/>
  <c r="K68" i="13"/>
  <c r="E82" i="16" s="1"/>
  <c r="K36" i="4"/>
  <c r="J63" i="5"/>
  <c r="E78" i="20"/>
  <c r="M32" i="4"/>
  <c r="AV42" i="20" s="1"/>
  <c r="D32" i="4"/>
  <c r="E80" i="20"/>
  <c r="AD25" i="21"/>
  <c r="AD41" i="21"/>
  <c r="G19" i="5"/>
  <c r="G27" i="5"/>
  <c r="N65" i="4"/>
  <c r="F77" i="20" s="1"/>
  <c r="N29" i="4"/>
  <c r="F36" i="20" s="1"/>
  <c r="J70" i="5"/>
  <c r="M18" i="4"/>
  <c r="N18" i="4" s="1"/>
  <c r="J68" i="13"/>
  <c r="J66" i="5"/>
  <c r="K70" i="5"/>
  <c r="J68" i="5"/>
  <c r="J16" i="4"/>
  <c r="C82" i="16"/>
  <c r="H16" i="4"/>
  <c r="G17" i="5"/>
  <c r="G23" i="5"/>
  <c r="C80" i="16"/>
  <c r="J66" i="13"/>
  <c r="D80" i="16"/>
  <c r="H78" i="20"/>
  <c r="K66" i="13"/>
  <c r="K78" i="20" s="1"/>
  <c r="N64" i="4"/>
  <c r="F76" i="20" s="1"/>
  <c r="K40" i="4"/>
  <c r="B47" i="20"/>
  <c r="B46" i="16"/>
  <c r="C79" i="16"/>
  <c r="AD46" i="23"/>
  <c r="A83" i="2" s="1"/>
  <c r="J65" i="5"/>
  <c r="K65" i="5"/>
  <c r="J65" i="13" s="1"/>
  <c r="A48" i="18"/>
  <c r="U48" i="18" s="1"/>
  <c r="A47" i="18"/>
  <c r="K73" i="4"/>
  <c r="J18" i="4"/>
  <c r="I18" i="4"/>
  <c r="M38" i="4"/>
  <c r="D38" i="4"/>
  <c r="N68" i="5"/>
  <c r="F80" i="20"/>
  <c r="N16" i="4"/>
  <c r="F10" i="20" s="1"/>
  <c r="B30" i="20"/>
  <c r="B29" i="16"/>
  <c r="N66" i="6"/>
  <c r="N40" i="4"/>
  <c r="F57" i="20" s="1"/>
  <c r="K38" i="4"/>
  <c r="L38" i="4" s="1"/>
  <c r="I15" i="4"/>
  <c r="M15" i="4"/>
  <c r="AV9" i="20" s="1"/>
  <c r="H15" i="4"/>
  <c r="A5" i="13"/>
  <c r="G28" i="5"/>
  <c r="M28" i="5" s="1"/>
  <c r="B40" i="5"/>
  <c r="G16" i="5"/>
  <c r="M16" i="5" s="1"/>
  <c r="G18" i="5"/>
  <c r="M18" i="5" s="1"/>
  <c r="G24" i="5"/>
  <c r="M24" i="5" s="1"/>
  <c r="B34" i="5"/>
  <c r="M34" i="5" s="1"/>
  <c r="B32" i="5"/>
  <c r="B35" i="5"/>
  <c r="M35" i="5" s="1"/>
  <c r="G20" i="5"/>
  <c r="M20" i="5" s="1"/>
  <c r="G22" i="5"/>
  <c r="M22" i="5" s="1"/>
  <c r="N55" i="5"/>
  <c r="K55" i="5"/>
  <c r="K54" i="18" s="1"/>
  <c r="K57" i="5"/>
  <c r="K58" i="18" s="1"/>
  <c r="K61" i="5"/>
  <c r="K56" i="5"/>
  <c r="K56" i="18" s="1"/>
  <c r="N58" i="5"/>
  <c r="N61" i="5"/>
  <c r="B33" i="5"/>
  <c r="M33" i="5" s="1"/>
  <c r="B37" i="5"/>
  <c r="G26" i="5"/>
  <c r="M26" i="5" s="1"/>
  <c r="B36" i="5"/>
  <c r="B39" i="5"/>
  <c r="M39" i="5" s="1"/>
  <c r="N56" i="5"/>
  <c r="K51" i="5"/>
  <c r="N86" i="5"/>
  <c r="N57" i="5"/>
  <c r="K52" i="5"/>
  <c r="N60" i="5"/>
  <c r="K58" i="5"/>
  <c r="K60" i="18" s="1"/>
  <c r="K60" i="5"/>
  <c r="B18" i="20"/>
  <c r="B17" i="16"/>
  <c r="AF46" i="23"/>
  <c r="B36" i="20"/>
  <c r="B35" i="16"/>
  <c r="N63" i="6"/>
  <c r="N63" i="4"/>
  <c r="F75" i="20" s="1"/>
  <c r="N62" i="6"/>
  <c r="N62" i="4"/>
  <c r="N67" i="5"/>
  <c r="K8" i="5"/>
  <c r="N69" i="5"/>
  <c r="K22" i="4"/>
  <c r="C64" i="20"/>
  <c r="N72" i="5"/>
  <c r="N30" i="2"/>
  <c r="C34" i="20"/>
  <c r="B65" i="20"/>
  <c r="B66" i="16"/>
  <c r="B33" i="16"/>
  <c r="B34" i="20"/>
  <c r="K30" i="2"/>
  <c r="N71" i="5"/>
  <c r="P25" i="5"/>
  <c r="P38" i="5"/>
  <c r="P29" i="5"/>
  <c r="P40" i="5"/>
  <c r="P35" i="5"/>
  <c r="P37" i="5"/>
  <c r="P21" i="5"/>
  <c r="P32" i="5"/>
  <c r="P20" i="5"/>
  <c r="P26" i="5"/>
  <c r="P17" i="5"/>
  <c r="P19" i="5"/>
  <c r="P18" i="5"/>
  <c r="P39" i="5"/>
  <c r="P23" i="5"/>
  <c r="P28" i="5"/>
  <c r="P34" i="5"/>
  <c r="P27" i="5"/>
  <c r="P22" i="5"/>
  <c r="P36" i="5"/>
  <c r="P33" i="5"/>
  <c r="P24" i="5"/>
  <c r="P16" i="5"/>
  <c r="P15" i="5"/>
  <c r="I77" i="5"/>
  <c r="K37" i="4" l="1"/>
  <c r="C50" i="16" s="1"/>
  <c r="AB52" i="20"/>
  <c r="H38" i="5"/>
  <c r="AE54" i="20" s="1"/>
  <c r="J49" i="26" s="1"/>
  <c r="M38" i="5"/>
  <c r="I96" i="20" s="1"/>
  <c r="H32" i="5"/>
  <c r="AE42" i="20" s="1"/>
  <c r="J37" i="26" s="1"/>
  <c r="M32" i="5"/>
  <c r="H37" i="5"/>
  <c r="K37" i="5" s="1"/>
  <c r="L37" i="5" s="1"/>
  <c r="H52" i="20" s="1"/>
  <c r="M37" i="5"/>
  <c r="AW52" i="20" s="1"/>
  <c r="H36" i="5"/>
  <c r="T49" i="16" s="1"/>
  <c r="M36" i="5"/>
  <c r="H40" i="5"/>
  <c r="AE58" i="20" s="1"/>
  <c r="J53" i="26" s="1"/>
  <c r="M40" i="5"/>
  <c r="M17" i="5"/>
  <c r="AW13" i="20" s="1"/>
  <c r="AB8" i="26" s="1"/>
  <c r="I29" i="5"/>
  <c r="M29" i="5"/>
  <c r="AW37" i="20" s="1"/>
  <c r="AB32" i="26" s="1"/>
  <c r="M25" i="5"/>
  <c r="P17" i="18" s="1"/>
  <c r="H27" i="5"/>
  <c r="T32" i="16" s="1"/>
  <c r="M27" i="5"/>
  <c r="AW33" i="20" s="1"/>
  <c r="AB28" i="26" s="1"/>
  <c r="M21" i="5"/>
  <c r="AW21" i="20" s="1"/>
  <c r="AB16" i="26" s="1"/>
  <c r="I19" i="5"/>
  <c r="AF17" i="20" s="1"/>
  <c r="M19" i="5"/>
  <c r="I23" i="5"/>
  <c r="AF25" i="20" s="1"/>
  <c r="M23" i="5"/>
  <c r="B29" i="13"/>
  <c r="B21" i="13"/>
  <c r="B23" i="13"/>
  <c r="B22" i="13"/>
  <c r="B28" i="13"/>
  <c r="B20" i="13"/>
  <c r="B27" i="13"/>
  <c r="B19" i="13"/>
  <c r="B16" i="13"/>
  <c r="B26" i="13"/>
  <c r="B18" i="13"/>
  <c r="B24" i="13"/>
  <c r="B25" i="13"/>
  <c r="B17" i="13"/>
  <c r="H33" i="5"/>
  <c r="K33" i="5" s="1"/>
  <c r="L33" i="5" s="1"/>
  <c r="H44" i="20" s="1"/>
  <c r="AV29" i="20"/>
  <c r="K39" i="4"/>
  <c r="E55" i="20" s="1"/>
  <c r="K63" i="13"/>
  <c r="K75" i="20" s="1"/>
  <c r="S28" i="16"/>
  <c r="Q55" i="16"/>
  <c r="K59" i="5"/>
  <c r="K62" i="18" s="1"/>
  <c r="H39" i="5"/>
  <c r="T55" i="16" s="1"/>
  <c r="K20" i="4"/>
  <c r="L20" i="4" s="1"/>
  <c r="E19" i="20" s="1"/>
  <c r="K17" i="4"/>
  <c r="L17" i="4" s="1"/>
  <c r="E13" i="20" s="1"/>
  <c r="N51" i="5"/>
  <c r="N51" i="13" s="1"/>
  <c r="J62" i="18"/>
  <c r="I15" i="5"/>
  <c r="U8" i="16" s="1"/>
  <c r="S36" i="16"/>
  <c r="K74" i="4"/>
  <c r="E86" i="20" s="1"/>
  <c r="K29" i="4"/>
  <c r="L29" i="4" s="1"/>
  <c r="E37" i="20" s="1"/>
  <c r="K53" i="5"/>
  <c r="K51" i="18" s="1"/>
  <c r="AB29" i="20"/>
  <c r="G24" i="26" s="1"/>
  <c r="K34" i="4"/>
  <c r="L34" i="4" s="1"/>
  <c r="E46" i="20" s="1"/>
  <c r="K64" i="18"/>
  <c r="AB48" i="20"/>
  <c r="G43" i="26" s="1"/>
  <c r="H34" i="5"/>
  <c r="AE46" i="20" s="1"/>
  <c r="K35" i="4"/>
  <c r="L35" i="4" s="1"/>
  <c r="E48" i="20" s="1"/>
  <c r="H35" i="5"/>
  <c r="AE48" i="20" s="1"/>
  <c r="K53" i="4"/>
  <c r="C67" i="16" s="1"/>
  <c r="AB46" i="20"/>
  <c r="G41" i="26" s="1"/>
  <c r="K25" i="4"/>
  <c r="L25" i="4" s="1"/>
  <c r="C28" i="16" s="1"/>
  <c r="L37" i="4"/>
  <c r="C51" i="16" s="1"/>
  <c r="C42" i="16"/>
  <c r="L33" i="4"/>
  <c r="C43" i="16" s="1"/>
  <c r="D38" i="5"/>
  <c r="Q43" i="16"/>
  <c r="P64" i="18"/>
  <c r="AB44" i="20"/>
  <c r="J66" i="18"/>
  <c r="R20" i="16"/>
  <c r="B5" i="9"/>
  <c r="A6" i="9"/>
  <c r="D81" i="16"/>
  <c r="J63" i="13"/>
  <c r="AV25" i="20"/>
  <c r="AA20" i="26" s="1"/>
  <c r="N20" i="4"/>
  <c r="F18" i="20" s="1"/>
  <c r="O15" i="18"/>
  <c r="K23" i="4"/>
  <c r="C23" i="16" s="1"/>
  <c r="N21" i="4"/>
  <c r="F20" i="20" s="1"/>
  <c r="S32" i="16"/>
  <c r="Q32" i="16"/>
  <c r="O12" i="18"/>
  <c r="AV21" i="20"/>
  <c r="AA16" i="26" s="1"/>
  <c r="O19" i="18"/>
  <c r="H25" i="5"/>
  <c r="AE29" i="20" s="1"/>
  <c r="J24" i="26" s="1"/>
  <c r="K21" i="4"/>
  <c r="L21" i="4" s="1"/>
  <c r="E21" i="20" s="1"/>
  <c r="K27" i="4"/>
  <c r="L27" i="4" s="1"/>
  <c r="C32" i="16" s="1"/>
  <c r="S20" i="16"/>
  <c r="Q24" i="16"/>
  <c r="N27" i="4"/>
  <c r="F32" i="20" s="1"/>
  <c r="O11" i="18"/>
  <c r="O18" i="18"/>
  <c r="N19" i="4"/>
  <c r="F16" i="20" s="1"/>
  <c r="N26" i="4"/>
  <c r="F30" i="20" s="1"/>
  <c r="K19" i="4"/>
  <c r="L19" i="4" s="1"/>
  <c r="C16" i="16" s="1"/>
  <c r="Q26" i="16"/>
  <c r="K72" i="13"/>
  <c r="K72" i="14" s="1"/>
  <c r="K72" i="6" s="1"/>
  <c r="J72" i="13"/>
  <c r="N17" i="4"/>
  <c r="F12" i="20" s="1"/>
  <c r="R18" i="16"/>
  <c r="I25" i="5"/>
  <c r="U28" i="16" s="1"/>
  <c r="O9" i="18"/>
  <c r="Q16" i="16"/>
  <c r="I78" i="20"/>
  <c r="D86" i="16"/>
  <c r="AB25" i="20"/>
  <c r="G20" i="26" s="1"/>
  <c r="J25" i="5"/>
  <c r="AG29" i="20" s="1"/>
  <c r="L24" i="26" s="1"/>
  <c r="B64" i="20"/>
  <c r="AC19" i="20"/>
  <c r="H14" i="26" s="1"/>
  <c r="R34" i="16"/>
  <c r="D76" i="16"/>
  <c r="N28" i="4"/>
  <c r="F34" i="20" s="1"/>
  <c r="K53" i="2"/>
  <c r="B67" i="16" s="1"/>
  <c r="O20" i="18"/>
  <c r="K28" i="4"/>
  <c r="L28" i="4" s="1"/>
  <c r="E35" i="20" s="1"/>
  <c r="N70" i="5"/>
  <c r="I82" i="20" s="1"/>
  <c r="E51" i="20"/>
  <c r="S34" i="16"/>
  <c r="N65" i="5"/>
  <c r="I77" i="20" s="1"/>
  <c r="K24" i="4"/>
  <c r="L24" i="4" s="1"/>
  <c r="E27" i="20" s="1"/>
  <c r="C73" i="16"/>
  <c r="S26" i="16"/>
  <c r="H21" i="5"/>
  <c r="T20" i="16" s="1"/>
  <c r="K71" i="13"/>
  <c r="K83" i="20" s="1"/>
  <c r="E43" i="20"/>
  <c r="B65" i="16"/>
  <c r="J15" i="5"/>
  <c r="V8" i="16" s="1"/>
  <c r="H29" i="5"/>
  <c r="AE37" i="20" s="1"/>
  <c r="J21" i="5"/>
  <c r="K80" i="20"/>
  <c r="H75" i="20"/>
  <c r="H74" i="20"/>
  <c r="R26" i="16"/>
  <c r="I17" i="5"/>
  <c r="AF13" i="20" s="1"/>
  <c r="K8" i="26" s="1"/>
  <c r="J19" i="5"/>
  <c r="AG17" i="20" s="1"/>
  <c r="L12" i="26" s="1"/>
  <c r="K62" i="13"/>
  <c r="K74" i="20" s="1"/>
  <c r="N15" i="5"/>
  <c r="I8" i="20" s="1"/>
  <c r="J29" i="5"/>
  <c r="V36" i="16" s="1"/>
  <c r="H76" i="20"/>
  <c r="H32" i="26"/>
  <c r="AA37" i="26"/>
  <c r="AC31" i="20"/>
  <c r="R30" i="16"/>
  <c r="AD31" i="20"/>
  <c r="S30" i="16"/>
  <c r="H8" i="26"/>
  <c r="G47" i="26"/>
  <c r="G49" i="26"/>
  <c r="G37" i="26"/>
  <c r="H16" i="26"/>
  <c r="I30" i="26"/>
  <c r="I14" i="26"/>
  <c r="I16" i="26"/>
  <c r="AA8" i="26"/>
  <c r="AA24" i="26"/>
  <c r="G39" i="26"/>
  <c r="I28" i="26"/>
  <c r="AA28" i="26"/>
  <c r="AA26" i="26"/>
  <c r="G12" i="26"/>
  <c r="AA6" i="26"/>
  <c r="G51" i="26"/>
  <c r="I12" i="26"/>
  <c r="F85" i="20"/>
  <c r="F96" i="20"/>
  <c r="AV54" i="20"/>
  <c r="AB11" i="20"/>
  <c r="Q10" i="16"/>
  <c r="O10" i="18"/>
  <c r="AV15" i="20"/>
  <c r="G10" i="26"/>
  <c r="AA12" i="26"/>
  <c r="I22" i="26"/>
  <c r="H22" i="26"/>
  <c r="H19" i="5"/>
  <c r="U36" i="16"/>
  <c r="AF37" i="20"/>
  <c r="K32" i="26" s="1"/>
  <c r="AC15" i="20"/>
  <c r="R14" i="16"/>
  <c r="AC11" i="20"/>
  <c r="R10" i="16"/>
  <c r="I4" i="26"/>
  <c r="H18" i="26"/>
  <c r="I32" i="26"/>
  <c r="G53" i="26"/>
  <c r="G30" i="26"/>
  <c r="I8" i="26"/>
  <c r="R8" i="16"/>
  <c r="AC9" i="20"/>
  <c r="T51" i="16"/>
  <c r="H15" i="5"/>
  <c r="AB9" i="20"/>
  <c r="Q8" i="16"/>
  <c r="AD15" i="20"/>
  <c r="S14" i="16"/>
  <c r="AD11" i="20"/>
  <c r="S10" i="16"/>
  <c r="E64" i="20"/>
  <c r="I18" i="26"/>
  <c r="AA32" i="26"/>
  <c r="AA4" i="26"/>
  <c r="G26" i="26"/>
  <c r="H30" i="26"/>
  <c r="G28" i="26"/>
  <c r="I20" i="26"/>
  <c r="G22" i="26"/>
  <c r="J68" i="14"/>
  <c r="J71" i="13"/>
  <c r="J64" i="13"/>
  <c r="D78" i="16"/>
  <c r="D85" i="16"/>
  <c r="K67" i="13"/>
  <c r="E81" i="16" s="1"/>
  <c r="K68" i="14"/>
  <c r="K68" i="6" s="1"/>
  <c r="N52" i="4"/>
  <c r="N53" i="4" s="1"/>
  <c r="O51" i="18" s="1"/>
  <c r="I21" i="5"/>
  <c r="N59" i="4"/>
  <c r="F71" i="20" s="1"/>
  <c r="F100" i="20" s="1"/>
  <c r="J67" i="13"/>
  <c r="K211" i="9"/>
  <c r="L230" i="9"/>
  <c r="K221" i="9" s="1"/>
  <c r="K218" i="9"/>
  <c r="K217" i="9"/>
  <c r="K210" i="9"/>
  <c r="K213" i="9"/>
  <c r="K215" i="9"/>
  <c r="K212" i="9"/>
  <c r="K214" i="9"/>
  <c r="K208" i="9"/>
  <c r="K209" i="9"/>
  <c r="C65" i="20"/>
  <c r="K216" i="9"/>
  <c r="K207" i="9"/>
  <c r="J17" i="5"/>
  <c r="H17" i="5"/>
  <c r="C40" i="16"/>
  <c r="L32" i="4"/>
  <c r="C48" i="16"/>
  <c r="L36" i="4"/>
  <c r="C56" i="16"/>
  <c r="L40" i="4"/>
  <c r="N62" i="5"/>
  <c r="N62" i="13" s="1"/>
  <c r="O66" i="18"/>
  <c r="C53" i="16"/>
  <c r="E54" i="20"/>
  <c r="E41" i="20"/>
  <c r="H30" i="4"/>
  <c r="M30" i="4"/>
  <c r="H81" i="20"/>
  <c r="J69" i="13"/>
  <c r="D83" i="16"/>
  <c r="K69" i="13"/>
  <c r="K26" i="4"/>
  <c r="E30" i="20" s="1"/>
  <c r="J27" i="5"/>
  <c r="I27" i="5"/>
  <c r="E49" i="20"/>
  <c r="I30" i="4"/>
  <c r="J30" i="4"/>
  <c r="O24" i="18"/>
  <c r="N32" i="4"/>
  <c r="F41" i="20" s="1"/>
  <c r="E80" i="16"/>
  <c r="J66" i="14"/>
  <c r="H23" i="5"/>
  <c r="K66" i="14"/>
  <c r="K66" i="6" s="1"/>
  <c r="J23" i="5"/>
  <c r="E57" i="20"/>
  <c r="K16" i="4"/>
  <c r="E10" i="20" s="1"/>
  <c r="H82" i="20"/>
  <c r="K70" i="13"/>
  <c r="J70" i="13"/>
  <c r="D84" i="16"/>
  <c r="K18" i="4"/>
  <c r="L18" i="4" s="1"/>
  <c r="D79" i="16"/>
  <c r="K15" i="4"/>
  <c r="E8" i="20" s="1"/>
  <c r="N64" i="5"/>
  <c r="U47" i="18"/>
  <c r="U49" i="18"/>
  <c r="K65" i="13"/>
  <c r="H77" i="20"/>
  <c r="H70" i="20"/>
  <c r="D72" i="16"/>
  <c r="I68" i="20"/>
  <c r="P56" i="18"/>
  <c r="K32" i="5"/>
  <c r="L32" i="5" s="1"/>
  <c r="H42" i="20" s="1"/>
  <c r="H24" i="5"/>
  <c r="I24" i="5"/>
  <c r="AW27" i="20"/>
  <c r="AB22" i="26" s="1"/>
  <c r="J24" i="5"/>
  <c r="H28" i="5"/>
  <c r="I28" i="5"/>
  <c r="J28" i="5"/>
  <c r="I72" i="20"/>
  <c r="AW56" i="20"/>
  <c r="D39" i="5"/>
  <c r="AW48" i="20"/>
  <c r="H68" i="20"/>
  <c r="D70" i="16"/>
  <c r="D69" i="16"/>
  <c r="H67" i="20"/>
  <c r="D32" i="5"/>
  <c r="I18" i="5"/>
  <c r="J18" i="5"/>
  <c r="AW15" i="20"/>
  <c r="AB10" i="26" s="1"/>
  <c r="H18" i="5"/>
  <c r="A5" i="14"/>
  <c r="B32" i="13"/>
  <c r="G22" i="13"/>
  <c r="M22" i="13" s="1"/>
  <c r="G20" i="13"/>
  <c r="M20" i="13" s="1"/>
  <c r="B33" i="13"/>
  <c r="B37" i="13"/>
  <c r="G28" i="13"/>
  <c r="M28" i="13" s="1"/>
  <c r="B34" i="13"/>
  <c r="G18" i="13"/>
  <c r="M18" i="13" s="1"/>
  <c r="K58" i="13"/>
  <c r="L60" i="18" s="1"/>
  <c r="N58" i="13"/>
  <c r="G26" i="13"/>
  <c r="M26" i="13" s="1"/>
  <c r="B35" i="13"/>
  <c r="B40" i="13"/>
  <c r="N55" i="13"/>
  <c r="K51" i="13"/>
  <c r="K56" i="13"/>
  <c r="L56" i="18" s="1"/>
  <c r="N56" i="13"/>
  <c r="G16" i="13"/>
  <c r="M16" i="13" s="1"/>
  <c r="N57" i="13"/>
  <c r="B39" i="13"/>
  <c r="M39" i="13" s="1"/>
  <c r="K60" i="13"/>
  <c r="B15" i="13"/>
  <c r="N60" i="13"/>
  <c r="B36" i="13"/>
  <c r="G24" i="13"/>
  <c r="M24" i="13" s="1"/>
  <c r="K55" i="13"/>
  <c r="L54" i="18" s="1"/>
  <c r="N61" i="13"/>
  <c r="L73" i="20" s="1"/>
  <c r="N86" i="13"/>
  <c r="K61" i="13"/>
  <c r="K52" i="13"/>
  <c r="K57" i="13"/>
  <c r="L58" i="18" s="1"/>
  <c r="G27" i="13"/>
  <c r="M27" i="13" s="1"/>
  <c r="G19" i="13"/>
  <c r="M19" i="13" s="1"/>
  <c r="G25" i="13"/>
  <c r="M25" i="13" s="1"/>
  <c r="G23" i="13"/>
  <c r="M23" i="13" s="1"/>
  <c r="G21" i="13"/>
  <c r="M21" i="13" s="1"/>
  <c r="G17" i="13"/>
  <c r="M17" i="13" s="1"/>
  <c r="B38" i="13"/>
  <c r="G29" i="13"/>
  <c r="M29" i="13" s="1"/>
  <c r="G15" i="13"/>
  <c r="M15" i="13" s="1"/>
  <c r="I80" i="20"/>
  <c r="N68" i="13"/>
  <c r="J73" i="5"/>
  <c r="C87" i="16"/>
  <c r="E85" i="20"/>
  <c r="A83" i="4"/>
  <c r="H65" i="20"/>
  <c r="D66" i="16"/>
  <c r="P60" i="18"/>
  <c r="I70" i="20"/>
  <c r="D75" i="16"/>
  <c r="H73" i="20"/>
  <c r="P54" i="18"/>
  <c r="I67" i="20"/>
  <c r="I16" i="5"/>
  <c r="J16" i="5"/>
  <c r="H16" i="5"/>
  <c r="K73" i="5"/>
  <c r="P58" i="18"/>
  <c r="I69" i="20"/>
  <c r="H26" i="5"/>
  <c r="I26" i="5"/>
  <c r="J26" i="5"/>
  <c r="AW31" i="20"/>
  <c r="AB26" i="26" s="1"/>
  <c r="D40" i="5"/>
  <c r="D71" i="16"/>
  <c r="H69" i="20"/>
  <c r="C52" i="16"/>
  <c r="E53" i="20"/>
  <c r="H22" i="5"/>
  <c r="J22" i="5"/>
  <c r="I22" i="5"/>
  <c r="O7" i="18"/>
  <c r="N15" i="4"/>
  <c r="F8" i="20" s="1"/>
  <c r="O30" i="18"/>
  <c r="N38" i="4"/>
  <c r="F53" i="20" s="1"/>
  <c r="F98" i="20" s="1"/>
  <c r="K76" i="20"/>
  <c r="K64" i="14"/>
  <c r="E78" i="16"/>
  <c r="J64" i="14"/>
  <c r="H72" i="20"/>
  <c r="D74" i="16"/>
  <c r="H64" i="20"/>
  <c r="D65" i="16"/>
  <c r="AW44" i="20"/>
  <c r="AB39" i="26" s="1"/>
  <c r="I73" i="20"/>
  <c r="H20" i="5"/>
  <c r="J20" i="5"/>
  <c r="I20" i="5"/>
  <c r="I85" i="20"/>
  <c r="N73" i="13"/>
  <c r="I83" i="20"/>
  <c r="N71" i="13"/>
  <c r="N69" i="13"/>
  <c r="I81" i="20"/>
  <c r="L22" i="4"/>
  <c r="E22" i="20"/>
  <c r="C21" i="16"/>
  <c r="F74" i="20"/>
  <c r="N88" i="4"/>
  <c r="K41" i="2"/>
  <c r="B37" i="16"/>
  <c r="B38" i="20"/>
  <c r="N41" i="2"/>
  <c r="C38" i="20"/>
  <c r="F14" i="20"/>
  <c r="N67" i="13"/>
  <c r="I79" i="20"/>
  <c r="I84" i="20"/>
  <c r="N72" i="13"/>
  <c r="K10" i="5"/>
  <c r="D6" i="16" s="1"/>
  <c r="L78" i="20"/>
  <c r="N66" i="14"/>
  <c r="O78" i="20" s="1"/>
  <c r="N63" i="5"/>
  <c r="P40" i="13"/>
  <c r="P32" i="13"/>
  <c r="P37" i="13"/>
  <c r="P34" i="13"/>
  <c r="P35" i="13"/>
  <c r="P33" i="13"/>
  <c r="P29" i="13"/>
  <c r="P21" i="13"/>
  <c r="P17" i="13"/>
  <c r="P16" i="13"/>
  <c r="P36" i="13"/>
  <c r="P26" i="13"/>
  <c r="P28" i="13"/>
  <c r="P15" i="13"/>
  <c r="P38" i="13"/>
  <c r="P18" i="13"/>
  <c r="P39" i="13"/>
  <c r="P22" i="13"/>
  <c r="P27" i="13"/>
  <c r="P24" i="13"/>
  <c r="P20" i="13"/>
  <c r="P23" i="13"/>
  <c r="P19" i="13"/>
  <c r="P25" i="13"/>
  <c r="I77" i="13"/>
  <c r="K40" i="5" l="1"/>
  <c r="K38" i="5"/>
  <c r="L38" i="5" s="1"/>
  <c r="H54" i="20" s="1"/>
  <c r="T53" i="16"/>
  <c r="P9" i="18"/>
  <c r="T57" i="16"/>
  <c r="N17" i="5"/>
  <c r="I12" i="20" s="1"/>
  <c r="T41" i="16"/>
  <c r="H38" i="13"/>
  <c r="AH54" i="20" s="1"/>
  <c r="M49" i="26" s="1"/>
  <c r="M38" i="13"/>
  <c r="M36" i="13"/>
  <c r="AX50" i="20" s="1"/>
  <c r="AC45" i="26" s="1"/>
  <c r="M34" i="13"/>
  <c r="N34" i="13" s="1"/>
  <c r="L45" i="20" s="1"/>
  <c r="M35" i="13"/>
  <c r="N35" i="13" s="1"/>
  <c r="L47" i="20" s="1"/>
  <c r="M33" i="13"/>
  <c r="AX44" i="20" s="1"/>
  <c r="AC39" i="26" s="1"/>
  <c r="H40" i="13"/>
  <c r="AH58" i="20" s="1"/>
  <c r="M40" i="13"/>
  <c r="M37" i="13"/>
  <c r="N37" i="13" s="1"/>
  <c r="L51" i="20" s="1"/>
  <c r="H32" i="13"/>
  <c r="K32" i="13" s="1"/>
  <c r="M32" i="13"/>
  <c r="K36" i="5"/>
  <c r="L36" i="5" s="1"/>
  <c r="H50" i="20" s="1"/>
  <c r="AE50" i="20"/>
  <c r="J45" i="26" s="1"/>
  <c r="N25" i="5"/>
  <c r="I28" i="20" s="1"/>
  <c r="AE52" i="20"/>
  <c r="J47" i="26" s="1"/>
  <c r="U16" i="16"/>
  <c r="K34" i="5"/>
  <c r="L34" i="5" s="1"/>
  <c r="D45" i="16" s="1"/>
  <c r="P13" i="18"/>
  <c r="N21" i="5"/>
  <c r="I20" i="20" s="1"/>
  <c r="AW29" i="20"/>
  <c r="AB24" i="26" s="1"/>
  <c r="AE33" i="20"/>
  <c r="J28" i="26" s="1"/>
  <c r="U24" i="16"/>
  <c r="T43" i="16"/>
  <c r="AE44" i="20"/>
  <c r="J39" i="26" s="1"/>
  <c r="I64" i="20"/>
  <c r="J63" i="14"/>
  <c r="K63" i="14"/>
  <c r="N75" i="20" s="1"/>
  <c r="Q75" i="20" s="1"/>
  <c r="A75" i="20" s="1"/>
  <c r="E77" i="16"/>
  <c r="N38" i="5"/>
  <c r="I53" i="20" s="1"/>
  <c r="I98" i="20" s="1"/>
  <c r="C54" i="16"/>
  <c r="N59" i="5"/>
  <c r="N74" i="5" s="1"/>
  <c r="I86" i="20" s="1"/>
  <c r="C11" i="16"/>
  <c r="C12" i="16"/>
  <c r="H71" i="20"/>
  <c r="D73" i="16"/>
  <c r="AE56" i="20"/>
  <c r="J51" i="26" s="1"/>
  <c r="K74" i="5"/>
  <c r="H86" i="20" s="1"/>
  <c r="K39" i="5"/>
  <c r="H55" i="20" s="1"/>
  <c r="C36" i="16"/>
  <c r="C18" i="16"/>
  <c r="E12" i="20"/>
  <c r="E45" i="20"/>
  <c r="C45" i="16"/>
  <c r="C44" i="16"/>
  <c r="O5" i="23"/>
  <c r="H6" i="20"/>
  <c r="E18" i="20"/>
  <c r="D67" i="16"/>
  <c r="AF9" i="20"/>
  <c r="K4" i="26" s="1"/>
  <c r="T45" i="16"/>
  <c r="C35" i="16"/>
  <c r="H34" i="13"/>
  <c r="AH46" i="20" s="1"/>
  <c r="M41" i="26" s="1"/>
  <c r="H39" i="13"/>
  <c r="AH56" i="20" s="1"/>
  <c r="C17" i="16"/>
  <c r="E36" i="20"/>
  <c r="C47" i="16"/>
  <c r="C88" i="16"/>
  <c r="J51" i="18"/>
  <c r="C46" i="16"/>
  <c r="H33" i="13"/>
  <c r="K33" i="13" s="1"/>
  <c r="K53" i="13"/>
  <c r="E67" i="16" s="1"/>
  <c r="H37" i="13"/>
  <c r="AH52" i="20" s="1"/>
  <c r="M47" i="26" s="1"/>
  <c r="K35" i="5"/>
  <c r="L35" i="5" s="1"/>
  <c r="D47" i="16" s="1"/>
  <c r="E47" i="20"/>
  <c r="T47" i="16"/>
  <c r="AW54" i="20"/>
  <c r="AB49" i="26" s="1"/>
  <c r="C27" i="16"/>
  <c r="P30" i="18"/>
  <c r="E28" i="20"/>
  <c r="E29" i="20"/>
  <c r="J71" i="14"/>
  <c r="E44" i="20"/>
  <c r="E52" i="20"/>
  <c r="K66" i="18"/>
  <c r="B6" i="9"/>
  <c r="A7" i="9"/>
  <c r="E33" i="20"/>
  <c r="E32" i="20"/>
  <c r="K71" i="14"/>
  <c r="N83" i="20" s="1"/>
  <c r="Q83" i="20" s="1"/>
  <c r="A83" i="20" s="1"/>
  <c r="T28" i="16"/>
  <c r="E85" i="16"/>
  <c r="AG37" i="20"/>
  <c r="L32" i="26" s="1"/>
  <c r="L23" i="4"/>
  <c r="E25" i="20" s="1"/>
  <c r="E24" i="20"/>
  <c r="C20" i="16"/>
  <c r="K19" i="5"/>
  <c r="H16" i="20" s="1"/>
  <c r="C31" i="16"/>
  <c r="E20" i="20"/>
  <c r="C19" i="16"/>
  <c r="AG9" i="20"/>
  <c r="L4" i="26" s="1"/>
  <c r="AF29" i="20"/>
  <c r="K24" i="26" s="1"/>
  <c r="J72" i="14"/>
  <c r="K84" i="20"/>
  <c r="E86" i="16"/>
  <c r="P19" i="18"/>
  <c r="N27" i="5"/>
  <c r="I32" i="20" s="1"/>
  <c r="N65" i="13"/>
  <c r="L77" i="20" s="1"/>
  <c r="N70" i="13"/>
  <c r="L82" i="20" s="1"/>
  <c r="E17" i="20"/>
  <c r="C15" i="16"/>
  <c r="E16" i="20"/>
  <c r="AE21" i="20"/>
  <c r="J16" i="26" s="1"/>
  <c r="U12" i="16"/>
  <c r="V28" i="16"/>
  <c r="K15" i="5"/>
  <c r="H8" i="20" s="1"/>
  <c r="K17" i="5"/>
  <c r="H12" i="20" s="1"/>
  <c r="K21" i="5"/>
  <c r="D19" i="16" s="1"/>
  <c r="K25" i="5"/>
  <c r="L25" i="5" s="1"/>
  <c r="H29" i="20" s="1"/>
  <c r="C33" i="16"/>
  <c r="C34" i="16"/>
  <c r="E34" i="20"/>
  <c r="P21" i="18"/>
  <c r="N29" i="5"/>
  <c r="I36" i="20" s="1"/>
  <c r="I51" i="18"/>
  <c r="K62" i="14"/>
  <c r="F76" i="16" s="1"/>
  <c r="V16" i="16"/>
  <c r="E76" i="16"/>
  <c r="E26" i="20"/>
  <c r="F82" i="16"/>
  <c r="G82" i="16" s="1"/>
  <c r="A82" i="16" s="1"/>
  <c r="I74" i="20"/>
  <c r="AW9" i="20"/>
  <c r="AB4" i="26" s="1"/>
  <c r="N80" i="20"/>
  <c r="Q80" i="20" s="1"/>
  <c r="A80" i="20" s="1"/>
  <c r="P7" i="18"/>
  <c r="C26" i="16"/>
  <c r="C25" i="16"/>
  <c r="T36" i="16"/>
  <c r="J62" i="14"/>
  <c r="K79" i="20"/>
  <c r="K67" i="14"/>
  <c r="K67" i="6" s="1"/>
  <c r="J67" i="14"/>
  <c r="K29" i="5"/>
  <c r="L29" i="5" s="1"/>
  <c r="D36" i="16" s="1"/>
  <c r="V20" i="16"/>
  <c r="AG21" i="20"/>
  <c r="L16" i="26" s="1"/>
  <c r="N20" i="5"/>
  <c r="I18" i="20" s="1"/>
  <c r="AW19" i="20"/>
  <c r="N40" i="5"/>
  <c r="I57" i="20" s="1"/>
  <c r="AW58" i="20"/>
  <c r="N32" i="5"/>
  <c r="I41" i="20" s="1"/>
  <c r="AW42" i="20"/>
  <c r="AG27" i="20"/>
  <c r="V26" i="16"/>
  <c r="AE25" i="20"/>
  <c r="T24" i="16"/>
  <c r="I10" i="26"/>
  <c r="K20" i="26"/>
  <c r="AG19" i="20"/>
  <c r="V18" i="16"/>
  <c r="N34" i="5"/>
  <c r="I45" i="20" s="1"/>
  <c r="AW46" i="20"/>
  <c r="W53" i="16"/>
  <c r="J32" i="26"/>
  <c r="T18" i="16"/>
  <c r="AE19" i="20"/>
  <c r="AF23" i="20"/>
  <c r="U22" i="16"/>
  <c r="AE11" i="20"/>
  <c r="J6" i="26" s="1"/>
  <c r="T10" i="16"/>
  <c r="AB51" i="26"/>
  <c r="AF27" i="20"/>
  <c r="U26" i="16"/>
  <c r="AE13" i="20"/>
  <c r="J8" i="26" s="1"/>
  <c r="T12" i="16"/>
  <c r="G4" i="26"/>
  <c r="H6" i="26"/>
  <c r="G6" i="26"/>
  <c r="I26" i="26"/>
  <c r="J41" i="26"/>
  <c r="N22" i="5"/>
  <c r="I22" i="20" s="1"/>
  <c r="AW23" i="20"/>
  <c r="AB18" i="26" s="1"/>
  <c r="AG11" i="20"/>
  <c r="L6" i="26" s="1"/>
  <c r="V10" i="16"/>
  <c r="AE15" i="20"/>
  <c r="T14" i="16"/>
  <c r="AE27" i="20"/>
  <c r="T26" i="16"/>
  <c r="V12" i="16"/>
  <c r="AG13" i="20"/>
  <c r="AE9" i="20"/>
  <c r="J4" i="26" s="1"/>
  <c r="T8" i="16"/>
  <c r="H4" i="26"/>
  <c r="AA49" i="26"/>
  <c r="K12" i="26"/>
  <c r="AG23" i="20"/>
  <c r="V22" i="16"/>
  <c r="AG31" i="20"/>
  <c r="L26" i="26" s="1"/>
  <c r="V30" i="16"/>
  <c r="N16" i="5"/>
  <c r="I10" i="20" s="1"/>
  <c r="AW11" i="20"/>
  <c r="V34" i="16"/>
  <c r="AG35" i="20"/>
  <c r="H10" i="26"/>
  <c r="H26" i="26"/>
  <c r="AE23" i="20"/>
  <c r="T22" i="16"/>
  <c r="AF31" i="20"/>
  <c r="K26" i="26" s="1"/>
  <c r="U30" i="16"/>
  <c r="AF11" i="20"/>
  <c r="K6" i="26" s="1"/>
  <c r="U10" i="16"/>
  <c r="AG15" i="20"/>
  <c r="L10" i="26" s="1"/>
  <c r="V14" i="16"/>
  <c r="N36" i="5"/>
  <c r="I49" i="20" s="1"/>
  <c r="AW50" i="20"/>
  <c r="U34" i="16"/>
  <c r="AF35" i="20"/>
  <c r="AG25" i="20"/>
  <c r="V24" i="16"/>
  <c r="AF33" i="20"/>
  <c r="U32" i="16"/>
  <c r="AB47" i="26"/>
  <c r="AE31" i="20"/>
  <c r="T30" i="16"/>
  <c r="AF15" i="20"/>
  <c r="K10" i="26" s="1"/>
  <c r="U14" i="16"/>
  <c r="N28" i="5"/>
  <c r="I34" i="20" s="1"/>
  <c r="AW35" i="20"/>
  <c r="N23" i="5"/>
  <c r="I24" i="20" s="1"/>
  <c r="AW25" i="20"/>
  <c r="AG33" i="20"/>
  <c r="V32" i="16"/>
  <c r="I6" i="26"/>
  <c r="J43" i="26"/>
  <c r="AF19" i="20"/>
  <c r="U18" i="16"/>
  <c r="AB43" i="26"/>
  <c r="AE35" i="20"/>
  <c r="T34" i="16"/>
  <c r="U20" i="16"/>
  <c r="AF21" i="20"/>
  <c r="P11" i="18"/>
  <c r="AW17" i="20"/>
  <c r="AE17" i="20"/>
  <c r="T16" i="16"/>
  <c r="AA10" i="26"/>
  <c r="K225" i="9"/>
  <c r="K229" i="9"/>
  <c r="K226" i="9"/>
  <c r="K223" i="9"/>
  <c r="K224" i="9"/>
  <c r="K228" i="9"/>
  <c r="N19" i="5"/>
  <c r="I16" i="20" s="1"/>
  <c r="N74" i="4"/>
  <c r="F86" i="20" s="1"/>
  <c r="H53" i="20"/>
  <c r="D53" i="16"/>
  <c r="D52" i="16"/>
  <c r="D41" i="16"/>
  <c r="D51" i="16"/>
  <c r="D56" i="16"/>
  <c r="L40" i="5"/>
  <c r="P66" i="18"/>
  <c r="F65" i="20"/>
  <c r="N52" i="5"/>
  <c r="D43" i="16"/>
  <c r="L72" i="20"/>
  <c r="Q64" i="18"/>
  <c r="H36" i="13"/>
  <c r="K36" i="13" s="1"/>
  <c r="H35" i="13"/>
  <c r="K35" i="13" s="1"/>
  <c r="O62" i="18"/>
  <c r="L64" i="18"/>
  <c r="K230" i="9"/>
  <c r="L242" i="9"/>
  <c r="K237" i="9" s="1"/>
  <c r="K231" i="9"/>
  <c r="K239" i="9"/>
  <c r="K236" i="9"/>
  <c r="K238" i="9"/>
  <c r="K232" i="9"/>
  <c r="K222" i="9"/>
  <c r="K219" i="9"/>
  <c r="K227" i="9"/>
  <c r="K220" i="9"/>
  <c r="K27" i="5"/>
  <c r="D31" i="16" s="1"/>
  <c r="C49" i="16"/>
  <c r="E50" i="20"/>
  <c r="C41" i="16"/>
  <c r="E42" i="20"/>
  <c r="E58" i="20"/>
  <c r="C57" i="16"/>
  <c r="C29" i="16"/>
  <c r="L26" i="4"/>
  <c r="E31" i="20" s="1"/>
  <c r="K69" i="14"/>
  <c r="J69" i="14"/>
  <c r="E83" i="16"/>
  <c r="K81" i="20"/>
  <c r="H57" i="20"/>
  <c r="N78" i="20"/>
  <c r="Q78" i="20" s="1"/>
  <c r="A78" i="20" s="1"/>
  <c r="F80" i="16"/>
  <c r="G80" i="16" s="1"/>
  <c r="A80" i="16" s="1"/>
  <c r="L16" i="4"/>
  <c r="P15" i="18"/>
  <c r="K23" i="5"/>
  <c r="D23" i="16" s="1"/>
  <c r="M30" i="5"/>
  <c r="C9" i="16"/>
  <c r="C14" i="16"/>
  <c r="E15" i="20"/>
  <c r="E14" i="20"/>
  <c r="K70" i="14"/>
  <c r="J70" i="14"/>
  <c r="E84" i="16"/>
  <c r="K82" i="20"/>
  <c r="C13" i="16"/>
  <c r="H30" i="5"/>
  <c r="I30" i="5"/>
  <c r="K28" i="5"/>
  <c r="D33" i="16" s="1"/>
  <c r="C7" i="16"/>
  <c r="K30" i="4"/>
  <c r="I76" i="20"/>
  <c r="N64" i="13"/>
  <c r="L15" i="4"/>
  <c r="E9" i="20" s="1"/>
  <c r="K22" i="5"/>
  <c r="H22" i="20" s="1"/>
  <c r="J30" i="5"/>
  <c r="K65" i="14"/>
  <c r="E79" i="16"/>
  <c r="K77" i="20"/>
  <c r="J65" i="14"/>
  <c r="P26" i="18"/>
  <c r="AX54" i="20"/>
  <c r="AC49" i="26" s="1"/>
  <c r="D38" i="13"/>
  <c r="K69" i="20"/>
  <c r="E71" i="16"/>
  <c r="K67" i="20"/>
  <c r="E69" i="16"/>
  <c r="K64" i="20"/>
  <c r="E65" i="16"/>
  <c r="H26" i="13"/>
  <c r="J26" i="13"/>
  <c r="I26" i="13"/>
  <c r="H20" i="13"/>
  <c r="J20" i="13"/>
  <c r="I20" i="13"/>
  <c r="G20" i="14"/>
  <c r="M20" i="14" s="1"/>
  <c r="G28" i="14"/>
  <c r="M28" i="14" s="1"/>
  <c r="B34" i="14"/>
  <c r="M34" i="14" s="1"/>
  <c r="G18" i="14"/>
  <c r="M18" i="14" s="1"/>
  <c r="G16" i="14"/>
  <c r="M16" i="14" s="1"/>
  <c r="B33" i="14"/>
  <c r="M33" i="14" s="1"/>
  <c r="B37" i="14"/>
  <c r="M37" i="14" s="1"/>
  <c r="B36" i="14"/>
  <c r="M36" i="14" s="1"/>
  <c r="K57" i="14"/>
  <c r="M58" i="18" s="1"/>
  <c r="S58" i="18" s="1"/>
  <c r="B40" i="14"/>
  <c r="G26" i="14"/>
  <c r="M26" i="14" s="1"/>
  <c r="B35" i="14"/>
  <c r="M35" i="14" s="1"/>
  <c r="G24" i="14"/>
  <c r="M24" i="14" s="1"/>
  <c r="G22" i="14"/>
  <c r="M22" i="14" s="1"/>
  <c r="B32" i="14"/>
  <c r="N61" i="14"/>
  <c r="B39" i="14"/>
  <c r="N60" i="14"/>
  <c r="N57" i="14"/>
  <c r="K60" i="14"/>
  <c r="N56" i="14"/>
  <c r="K55" i="14"/>
  <c r="M54" i="18" s="1"/>
  <c r="S54" i="18" s="1"/>
  <c r="N86" i="14"/>
  <c r="N51" i="14"/>
  <c r="N51" i="6" s="1"/>
  <c r="K52" i="14"/>
  <c r="K52" i="6" s="1"/>
  <c r="N58" i="14"/>
  <c r="K61" i="14"/>
  <c r="N55" i="14"/>
  <c r="K56" i="14"/>
  <c r="M56" i="18" s="1"/>
  <c r="S56" i="18" s="1"/>
  <c r="K58" i="14"/>
  <c r="K51" i="14"/>
  <c r="K51" i="6" s="1"/>
  <c r="G25" i="14"/>
  <c r="M25" i="14" s="1"/>
  <c r="G27" i="14"/>
  <c r="M27" i="14" s="1"/>
  <c r="G17" i="14"/>
  <c r="M17" i="14" s="1"/>
  <c r="G23" i="14"/>
  <c r="M23" i="14" s="1"/>
  <c r="G29" i="14"/>
  <c r="M29" i="14" s="1"/>
  <c r="G21" i="14"/>
  <c r="M21" i="14" s="1"/>
  <c r="B38" i="14"/>
  <c r="G15" i="14"/>
  <c r="M15" i="14" s="1"/>
  <c r="G19" i="14"/>
  <c r="M19" i="14" s="1"/>
  <c r="P24" i="18"/>
  <c r="P28" i="18"/>
  <c r="P31" i="18"/>
  <c r="N39" i="5"/>
  <c r="P20" i="18"/>
  <c r="K16" i="5"/>
  <c r="D39" i="13"/>
  <c r="L64" i="20"/>
  <c r="H18" i="13"/>
  <c r="J18" i="13"/>
  <c r="I18" i="13"/>
  <c r="H22" i="13"/>
  <c r="I22" i="13"/>
  <c r="J22" i="13"/>
  <c r="K18" i="5"/>
  <c r="P27" i="18"/>
  <c r="H41" i="20"/>
  <c r="D40" i="16"/>
  <c r="P12" i="18"/>
  <c r="P25" i="18"/>
  <c r="P14" i="18"/>
  <c r="P29" i="18"/>
  <c r="I19" i="13"/>
  <c r="H19" i="13"/>
  <c r="J19" i="13"/>
  <c r="E66" i="16"/>
  <c r="K65" i="20"/>
  <c r="H24" i="13"/>
  <c r="I24" i="13"/>
  <c r="J24" i="13"/>
  <c r="L69" i="20"/>
  <c r="Q58" i="18"/>
  <c r="K38" i="13"/>
  <c r="N36" i="13"/>
  <c r="L49" i="20" s="1"/>
  <c r="P10" i="18"/>
  <c r="N18" i="5"/>
  <c r="N35" i="5"/>
  <c r="H51" i="20"/>
  <c r="D50" i="16"/>
  <c r="N68" i="14"/>
  <c r="O80" i="20" s="1"/>
  <c r="L80" i="20"/>
  <c r="J17" i="13"/>
  <c r="AX13" i="20"/>
  <c r="I17" i="13"/>
  <c r="H17" i="13"/>
  <c r="H27" i="13"/>
  <c r="J27" i="13"/>
  <c r="I27" i="13"/>
  <c r="K73" i="20"/>
  <c r="E75" i="16"/>
  <c r="Q28" i="18"/>
  <c r="I16" i="13"/>
  <c r="H16" i="13"/>
  <c r="J16" i="13"/>
  <c r="AX42" i="20"/>
  <c r="AC37" i="26" s="1"/>
  <c r="D32" i="13"/>
  <c r="N24" i="5"/>
  <c r="P16" i="18"/>
  <c r="N33" i="5"/>
  <c r="N37" i="5"/>
  <c r="K20" i="5"/>
  <c r="P18" i="18"/>
  <c r="N26" i="5"/>
  <c r="P8" i="18"/>
  <c r="H21" i="13"/>
  <c r="AX21" i="20"/>
  <c r="I21" i="13"/>
  <c r="J21" i="13"/>
  <c r="L68" i="20"/>
  <c r="Q56" i="18"/>
  <c r="L67" i="20"/>
  <c r="Q54" i="18"/>
  <c r="Q60" i="18"/>
  <c r="L70" i="20"/>
  <c r="N76" i="20"/>
  <c r="Q76" i="20" s="1"/>
  <c r="A76" i="20" s="1"/>
  <c r="F78" i="16"/>
  <c r="G78" i="16" s="1"/>
  <c r="A78" i="16" s="1"/>
  <c r="H43" i="20"/>
  <c r="D42" i="16"/>
  <c r="I23" i="13"/>
  <c r="J23" i="13"/>
  <c r="AX25" i="20"/>
  <c r="AC20" i="26" s="1"/>
  <c r="H23" i="13"/>
  <c r="E72" i="16"/>
  <c r="K70" i="20"/>
  <c r="I28" i="13"/>
  <c r="H28" i="13"/>
  <c r="J28" i="13"/>
  <c r="N30" i="4"/>
  <c r="P32" i="18"/>
  <c r="AX9" i="20"/>
  <c r="I15" i="13"/>
  <c r="J15" i="13"/>
  <c r="H15" i="13"/>
  <c r="J25" i="13"/>
  <c r="H25" i="13"/>
  <c r="I25" i="13"/>
  <c r="D40" i="13"/>
  <c r="K24" i="5"/>
  <c r="K64" i="6"/>
  <c r="K73" i="13"/>
  <c r="D87" i="16"/>
  <c r="H85" i="20"/>
  <c r="J73" i="13"/>
  <c r="A83" i="5"/>
  <c r="H29" i="13"/>
  <c r="I29" i="13"/>
  <c r="AX37" i="20"/>
  <c r="J29" i="13"/>
  <c r="E74" i="16"/>
  <c r="K72" i="20"/>
  <c r="K68" i="20"/>
  <c r="E70" i="16"/>
  <c r="Q27" i="18"/>
  <c r="K26" i="5"/>
  <c r="L85" i="20"/>
  <c r="N73" i="14"/>
  <c r="O85" i="20" s="1"/>
  <c r="R78" i="20"/>
  <c r="L74" i="20"/>
  <c r="N62" i="14"/>
  <c r="E23" i="20"/>
  <c r="C22" i="16"/>
  <c r="I75" i="20"/>
  <c r="N63" i="13"/>
  <c r="K63" i="6"/>
  <c r="C59" i="20"/>
  <c r="L81" i="20"/>
  <c r="N69" i="14"/>
  <c r="O81" i="20" s="1"/>
  <c r="N88" i="5"/>
  <c r="I103" i="20" s="1"/>
  <c r="L83" i="20"/>
  <c r="N71" i="14"/>
  <c r="O83" i="20" s="1"/>
  <c r="L84" i="20"/>
  <c r="N72" i="14"/>
  <c r="O84" i="20" s="1"/>
  <c r="N84" i="20"/>
  <c r="F86" i="16"/>
  <c r="K8" i="13"/>
  <c r="N67" i="14"/>
  <c r="O79" i="20" s="1"/>
  <c r="L79" i="20"/>
  <c r="B58" i="16"/>
  <c r="B59" i="20"/>
  <c r="F103" i="20"/>
  <c r="P40" i="14"/>
  <c r="P23" i="14"/>
  <c r="P22" i="14"/>
  <c r="P24" i="14"/>
  <c r="P38" i="14"/>
  <c r="P17" i="14"/>
  <c r="P20" i="14"/>
  <c r="P25" i="14"/>
  <c r="P18" i="14"/>
  <c r="P15" i="14"/>
  <c r="P29" i="14"/>
  <c r="P35" i="14"/>
  <c r="P33" i="14"/>
  <c r="P27" i="14"/>
  <c r="P32" i="14"/>
  <c r="P26" i="14"/>
  <c r="P16" i="14"/>
  <c r="P21" i="14"/>
  <c r="P39" i="14"/>
  <c r="P34" i="14"/>
  <c r="P37" i="14"/>
  <c r="P28" i="14"/>
  <c r="P19" i="14"/>
  <c r="P36" i="14"/>
  <c r="I77" i="14"/>
  <c r="N33" i="13" l="1"/>
  <c r="L43" i="20" s="1"/>
  <c r="AX48" i="20"/>
  <c r="AC43" i="26" s="1"/>
  <c r="Q25" i="18"/>
  <c r="K40" i="13"/>
  <c r="E56" i="16" s="1"/>
  <c r="B39" i="6"/>
  <c r="D39" i="6" s="1"/>
  <c r="M39" i="14"/>
  <c r="B40" i="6"/>
  <c r="D40" i="6" s="1"/>
  <c r="M40" i="14"/>
  <c r="AY58" i="20" s="1"/>
  <c r="AD53" i="26" s="1"/>
  <c r="H32" i="14"/>
  <c r="Z41" i="16" s="1"/>
  <c r="M32" i="14"/>
  <c r="B38" i="6"/>
  <c r="D38" i="6" s="1"/>
  <c r="M38" i="14"/>
  <c r="AY54" i="20" s="1"/>
  <c r="AD49" i="26" s="1"/>
  <c r="AE49" i="26" s="1"/>
  <c r="Q29" i="18"/>
  <c r="Q26" i="18"/>
  <c r="W57" i="16"/>
  <c r="AH42" i="20"/>
  <c r="M37" i="26" s="1"/>
  <c r="AX52" i="20"/>
  <c r="AC47" i="26" s="1"/>
  <c r="AX46" i="20"/>
  <c r="AC41" i="26" s="1"/>
  <c r="W41" i="16"/>
  <c r="D44" i="16"/>
  <c r="H45" i="20"/>
  <c r="D49" i="16"/>
  <c r="H49" i="20"/>
  <c r="D48" i="16"/>
  <c r="F77" i="16"/>
  <c r="G77" i="16" s="1"/>
  <c r="A77" i="16" s="1"/>
  <c r="H46" i="20"/>
  <c r="L51" i="18"/>
  <c r="K39" i="13"/>
  <c r="K55" i="20" s="1"/>
  <c r="D88" i="16"/>
  <c r="W43" i="16"/>
  <c r="W55" i="16"/>
  <c r="P62" i="18"/>
  <c r="F85" i="16"/>
  <c r="G85" i="16" s="1"/>
  <c r="A85" i="16" s="1"/>
  <c r="I71" i="20"/>
  <c r="I100" i="20" s="1"/>
  <c r="H40" i="14"/>
  <c r="Z57" i="16" s="1"/>
  <c r="AC57" i="16" s="1"/>
  <c r="D54" i="16"/>
  <c r="L36" i="13"/>
  <c r="K50" i="20" s="1"/>
  <c r="N70" i="14"/>
  <c r="O82" i="20" s="1"/>
  <c r="R82" i="20" s="1"/>
  <c r="K71" i="6"/>
  <c r="L33" i="13"/>
  <c r="K44" i="20" s="1"/>
  <c r="H47" i="20"/>
  <c r="D46" i="16"/>
  <c r="AH44" i="20"/>
  <c r="M39" i="26" s="1"/>
  <c r="L32" i="13"/>
  <c r="E41" i="16" s="1"/>
  <c r="L40" i="13"/>
  <c r="K58" i="20" s="1"/>
  <c r="W45" i="16"/>
  <c r="K34" i="13"/>
  <c r="L34" i="13" s="1"/>
  <c r="E45" i="16" s="1"/>
  <c r="H34" i="14"/>
  <c r="K34" i="14" s="1"/>
  <c r="K59" i="13"/>
  <c r="L62" i="18" s="1"/>
  <c r="L38" i="13"/>
  <c r="K54" i="20" s="1"/>
  <c r="H33" i="14"/>
  <c r="Z43" i="16" s="1"/>
  <c r="L35" i="13"/>
  <c r="E47" i="16" s="1"/>
  <c r="Q66" i="18"/>
  <c r="H36" i="14"/>
  <c r="K36" i="14" s="1"/>
  <c r="H37" i="14"/>
  <c r="Z51" i="16" s="1"/>
  <c r="K37" i="13"/>
  <c r="L37" i="13" s="1"/>
  <c r="E51" i="16" s="1"/>
  <c r="W51" i="16"/>
  <c r="H48" i="20"/>
  <c r="H39" i="14"/>
  <c r="Z55" i="16" s="1"/>
  <c r="Q84" i="20"/>
  <c r="A84" i="20" s="1"/>
  <c r="N65" i="14"/>
  <c r="O77" i="20" s="1"/>
  <c r="R77" i="20" s="1"/>
  <c r="K233" i="9"/>
  <c r="K241" i="9"/>
  <c r="K234" i="9"/>
  <c r="A8" i="9"/>
  <c r="B7" i="9"/>
  <c r="K235" i="9"/>
  <c r="L19" i="5"/>
  <c r="H17" i="20" s="1"/>
  <c r="D15" i="16"/>
  <c r="C24" i="16"/>
  <c r="K62" i="6"/>
  <c r="N74" i="20"/>
  <c r="Q74" i="20" s="1"/>
  <c r="A74" i="20" s="1"/>
  <c r="G86" i="16"/>
  <c r="A86" i="16" s="1"/>
  <c r="N87" i="13"/>
  <c r="L102" i="20" s="1"/>
  <c r="L15" i="5"/>
  <c r="D8" i="16" s="1"/>
  <c r="L17" i="5"/>
  <c r="D12" i="16" s="1"/>
  <c r="D7" i="16"/>
  <c r="D11" i="16"/>
  <c r="N79" i="20"/>
  <c r="Q79" i="20" s="1"/>
  <c r="A79" i="20" s="1"/>
  <c r="L21" i="5"/>
  <c r="H21" i="20" s="1"/>
  <c r="D28" i="16"/>
  <c r="H20" i="20"/>
  <c r="G76" i="16"/>
  <c r="A76" i="16" s="1"/>
  <c r="H28" i="20"/>
  <c r="D27" i="16"/>
  <c r="H37" i="20"/>
  <c r="H36" i="20"/>
  <c r="D35" i="16"/>
  <c r="F81" i="16"/>
  <c r="G81" i="16" s="1"/>
  <c r="A81" i="16" s="1"/>
  <c r="N25" i="13"/>
  <c r="L28" i="20" s="1"/>
  <c r="AX29" i="20"/>
  <c r="X32" i="16"/>
  <c r="AI33" i="20"/>
  <c r="N28" i="26" s="1"/>
  <c r="AI17" i="20"/>
  <c r="X16" i="16"/>
  <c r="M53" i="26"/>
  <c r="L20" i="26"/>
  <c r="K22" i="26"/>
  <c r="AH29" i="20"/>
  <c r="W28" i="16"/>
  <c r="AJ33" i="20"/>
  <c r="O28" i="26" s="1"/>
  <c r="Y32" i="16"/>
  <c r="AI27" i="20"/>
  <c r="N22" i="26" s="1"/>
  <c r="X26" i="16"/>
  <c r="Q10" i="18"/>
  <c r="AX15" i="20"/>
  <c r="H40" i="6"/>
  <c r="M32" i="18" s="1"/>
  <c r="K30" i="26"/>
  <c r="J14" i="26"/>
  <c r="AB53" i="26"/>
  <c r="Q12" i="18"/>
  <c r="AX19" i="20"/>
  <c r="AC14" i="26" s="1"/>
  <c r="Q16" i="18"/>
  <c r="AX27" i="20"/>
  <c r="J10" i="26"/>
  <c r="K18" i="26"/>
  <c r="Y36" i="16"/>
  <c r="AJ37" i="20"/>
  <c r="Y28" i="16"/>
  <c r="AJ29" i="20"/>
  <c r="W32" i="16"/>
  <c r="AH33" i="20"/>
  <c r="AH27" i="20"/>
  <c r="M22" i="26" s="1"/>
  <c r="W26" i="16"/>
  <c r="AI15" i="20"/>
  <c r="N10" i="26" s="1"/>
  <c r="X14" i="16"/>
  <c r="AB12" i="26"/>
  <c r="J26" i="26"/>
  <c r="L30" i="26"/>
  <c r="AC32" i="26"/>
  <c r="AH9" i="20"/>
  <c r="M4" i="26" s="1"/>
  <c r="W8" i="16"/>
  <c r="AH25" i="20"/>
  <c r="M20" i="26" s="1"/>
  <c r="W24" i="16"/>
  <c r="AH13" i="20"/>
  <c r="W12" i="16"/>
  <c r="AJ15" i="20"/>
  <c r="O10" i="26" s="1"/>
  <c r="Y14" i="16"/>
  <c r="X30" i="16"/>
  <c r="AI31" i="20"/>
  <c r="AH48" i="20"/>
  <c r="W47" i="16"/>
  <c r="K14" i="26"/>
  <c r="AB45" i="26"/>
  <c r="L18" i="26"/>
  <c r="L8" i="26"/>
  <c r="M51" i="26"/>
  <c r="AB41" i="26"/>
  <c r="AB14" i="26"/>
  <c r="AI11" i="20"/>
  <c r="N6" i="26" s="1"/>
  <c r="X10" i="16"/>
  <c r="AJ27" i="20"/>
  <c r="O22" i="26" s="1"/>
  <c r="Y26" i="16"/>
  <c r="AI23" i="20"/>
  <c r="N18" i="26" s="1"/>
  <c r="X22" i="16"/>
  <c r="AH19" i="20"/>
  <c r="M14" i="26" s="1"/>
  <c r="W18" i="16"/>
  <c r="AI37" i="20"/>
  <c r="X36" i="16"/>
  <c r="AJ9" i="20"/>
  <c r="Y8" i="16"/>
  <c r="AJ35" i="20"/>
  <c r="O30" i="26" s="1"/>
  <c r="Y34" i="16"/>
  <c r="AJ11" i="20"/>
  <c r="Y10" i="16"/>
  <c r="AI13" i="20"/>
  <c r="X12" i="16"/>
  <c r="AH15" i="20"/>
  <c r="M10" i="26" s="1"/>
  <c r="W14" i="16"/>
  <c r="Y30" i="16"/>
  <c r="AJ31" i="20"/>
  <c r="O26" i="26" s="1"/>
  <c r="AH50" i="20"/>
  <c r="W49" i="16"/>
  <c r="K16" i="26"/>
  <c r="L28" i="26"/>
  <c r="J20" i="26"/>
  <c r="AC16" i="26"/>
  <c r="N27" i="13"/>
  <c r="L32" i="20" s="1"/>
  <c r="AX33" i="20"/>
  <c r="AH17" i="20"/>
  <c r="M12" i="26" s="1"/>
  <c r="W16" i="16"/>
  <c r="AH21" i="20"/>
  <c r="W20" i="16"/>
  <c r="W36" i="16"/>
  <c r="AH37" i="20"/>
  <c r="X8" i="16"/>
  <c r="AI9" i="20"/>
  <c r="Q20" i="18"/>
  <c r="AX35" i="20"/>
  <c r="AC30" i="26" s="1"/>
  <c r="AJ25" i="20"/>
  <c r="O20" i="26" s="1"/>
  <c r="Y24" i="16"/>
  <c r="AJ21" i="20"/>
  <c r="Y20" i="16"/>
  <c r="Q8" i="18"/>
  <c r="AX11" i="20"/>
  <c r="AC6" i="26" s="1"/>
  <c r="AC8" i="26"/>
  <c r="AJ17" i="20"/>
  <c r="Y16" i="16"/>
  <c r="Q14" i="18"/>
  <c r="AX23" i="20"/>
  <c r="AC18" i="26" s="1"/>
  <c r="M35" i="6"/>
  <c r="AY48" i="20"/>
  <c r="M36" i="6"/>
  <c r="AY50" i="20"/>
  <c r="AD45" i="26" s="1"/>
  <c r="AI19" i="20"/>
  <c r="N14" i="26" s="1"/>
  <c r="X18" i="16"/>
  <c r="Q18" i="18"/>
  <c r="AX31" i="20"/>
  <c r="AB20" i="26"/>
  <c r="X34" i="16"/>
  <c r="AI35" i="20"/>
  <c r="N30" i="26" s="1"/>
  <c r="AI29" i="20"/>
  <c r="X28" i="16"/>
  <c r="AH23" i="20"/>
  <c r="M18" i="26" s="1"/>
  <c r="W22" i="16"/>
  <c r="N40" i="13"/>
  <c r="L57" i="20" s="1"/>
  <c r="AX58" i="20"/>
  <c r="AC53" i="26" s="1"/>
  <c r="AC4" i="26"/>
  <c r="W34" i="16"/>
  <c r="AH35" i="20"/>
  <c r="M30" i="26" s="1"/>
  <c r="AI25" i="20"/>
  <c r="X24" i="16"/>
  <c r="AI21" i="20"/>
  <c r="N16" i="26" s="1"/>
  <c r="X20" i="16"/>
  <c r="W10" i="16"/>
  <c r="AH11" i="20"/>
  <c r="AJ13" i="20"/>
  <c r="O8" i="26" s="1"/>
  <c r="Y12" i="16"/>
  <c r="N19" i="13"/>
  <c r="L16" i="20" s="1"/>
  <c r="AX17" i="20"/>
  <c r="AC12" i="26" s="1"/>
  <c r="Y22" i="16"/>
  <c r="AJ23" i="20"/>
  <c r="O18" i="26" s="1"/>
  <c r="N39" i="13"/>
  <c r="L55" i="20" s="1"/>
  <c r="AX56" i="20"/>
  <c r="AJ19" i="20"/>
  <c r="O14" i="26" s="1"/>
  <c r="Y18" i="16"/>
  <c r="AH31" i="20"/>
  <c r="M26" i="26" s="1"/>
  <c r="W30" i="16"/>
  <c r="K28" i="26"/>
  <c r="J18" i="26"/>
  <c r="AB6" i="26"/>
  <c r="J22" i="26"/>
  <c r="L14" i="26"/>
  <c r="L22" i="26"/>
  <c r="J12" i="26"/>
  <c r="J30" i="26"/>
  <c r="AB30" i="26"/>
  <c r="AB37" i="26"/>
  <c r="N20" i="13"/>
  <c r="L18" i="20" s="1"/>
  <c r="H38" i="14"/>
  <c r="K38" i="14" s="1"/>
  <c r="D57" i="16"/>
  <c r="H58" i="20"/>
  <c r="L96" i="20"/>
  <c r="N59" i="13"/>
  <c r="N74" i="13" s="1"/>
  <c r="L86" i="20" s="1"/>
  <c r="H35" i="14"/>
  <c r="H35" i="6" s="1"/>
  <c r="K60" i="6"/>
  <c r="M64" i="18"/>
  <c r="S64" i="18" s="1"/>
  <c r="O72" i="20"/>
  <c r="R72" i="20" s="1"/>
  <c r="R64" i="18"/>
  <c r="T64" i="18" s="1"/>
  <c r="I65" i="20"/>
  <c r="N52" i="13"/>
  <c r="N53" i="5"/>
  <c r="P51" i="18" s="1"/>
  <c r="L66" i="18"/>
  <c r="K58" i="6"/>
  <c r="M60" i="18"/>
  <c r="S60" i="18" s="1"/>
  <c r="K53" i="14"/>
  <c r="L27" i="5"/>
  <c r="H33" i="20" s="1"/>
  <c r="N60" i="6"/>
  <c r="K240" i="9"/>
  <c r="K242" i="9"/>
  <c r="L254" i="9"/>
  <c r="K253" i="9" s="1"/>
  <c r="H32" i="20"/>
  <c r="B36" i="6"/>
  <c r="N26" i="13"/>
  <c r="L30" i="20" s="1"/>
  <c r="E38" i="20"/>
  <c r="K41" i="4"/>
  <c r="C30" i="16"/>
  <c r="K69" i="6"/>
  <c r="F83" i="16"/>
  <c r="G83" i="16" s="1"/>
  <c r="A83" i="16" s="1"/>
  <c r="N81" i="20"/>
  <c r="Q81" i="20" s="1"/>
  <c r="A81" i="20" s="1"/>
  <c r="H34" i="20"/>
  <c r="C37" i="16"/>
  <c r="C8" i="16"/>
  <c r="L28" i="5"/>
  <c r="D34" i="16" s="1"/>
  <c r="L23" i="5"/>
  <c r="H25" i="20" s="1"/>
  <c r="H24" i="20"/>
  <c r="E11" i="20"/>
  <c r="C10" i="16"/>
  <c r="D21" i="16"/>
  <c r="L22" i="5"/>
  <c r="H23" i="20" s="1"/>
  <c r="N82" i="20"/>
  <c r="Q82" i="20" s="1"/>
  <c r="A82" i="20" s="1"/>
  <c r="F84" i="16"/>
  <c r="G84" i="16" s="1"/>
  <c r="A84" i="16" s="1"/>
  <c r="B35" i="6"/>
  <c r="K70" i="6"/>
  <c r="K18" i="13"/>
  <c r="E13" i="16" s="1"/>
  <c r="K27" i="13"/>
  <c r="E31" i="16" s="1"/>
  <c r="L30" i="4"/>
  <c r="R85" i="20"/>
  <c r="K26" i="13"/>
  <c r="E29" i="16" s="1"/>
  <c r="N64" i="14"/>
  <c r="O76" i="20" s="1"/>
  <c r="L76" i="20"/>
  <c r="N30" i="5"/>
  <c r="N41" i="5" s="1"/>
  <c r="I59" i="20" s="1"/>
  <c r="K30" i="5"/>
  <c r="K16" i="13"/>
  <c r="E9" i="16" s="1"/>
  <c r="K20" i="13"/>
  <c r="E17" i="16" s="1"/>
  <c r="N22" i="13"/>
  <c r="L22" i="20" s="1"/>
  <c r="N77" i="20"/>
  <c r="Q77" i="20" s="1"/>
  <c r="A77" i="20" s="1"/>
  <c r="F79" i="16"/>
  <c r="G79" i="16" s="1"/>
  <c r="A79" i="16" s="1"/>
  <c r="K65" i="6"/>
  <c r="R84" i="20"/>
  <c r="R80" i="20"/>
  <c r="N16" i="13"/>
  <c r="L10" i="20" s="1"/>
  <c r="R79" i="20"/>
  <c r="N28" i="13"/>
  <c r="Q21" i="18"/>
  <c r="K85" i="20"/>
  <c r="E87" i="16"/>
  <c r="K73" i="14"/>
  <c r="M66" i="18" s="1"/>
  <c r="J73" i="14"/>
  <c r="A83" i="13"/>
  <c r="K28" i="13"/>
  <c r="K23" i="13"/>
  <c r="K17" i="13"/>
  <c r="N18" i="13"/>
  <c r="L14" i="20" s="1"/>
  <c r="H21" i="14"/>
  <c r="I21" i="14"/>
  <c r="J21" i="14"/>
  <c r="H27" i="14"/>
  <c r="I27" i="14"/>
  <c r="J27" i="14"/>
  <c r="F65" i="16"/>
  <c r="G65" i="16" s="1"/>
  <c r="N64" i="20"/>
  <c r="Q64" i="20" s="1"/>
  <c r="F75" i="16"/>
  <c r="G75" i="16" s="1"/>
  <c r="N73" i="20"/>
  <c r="Q73" i="20" s="1"/>
  <c r="K61" i="6"/>
  <c r="F74" i="16"/>
  <c r="G74" i="16" s="1"/>
  <c r="N72" i="20"/>
  <c r="Q72" i="20" s="1"/>
  <c r="N35" i="14"/>
  <c r="O47" i="20" s="1"/>
  <c r="N69" i="20"/>
  <c r="Q69" i="20" s="1"/>
  <c r="F71" i="16"/>
  <c r="G71" i="16" s="1"/>
  <c r="K57" i="6"/>
  <c r="Q24" i="18"/>
  <c r="I55" i="20"/>
  <c r="AY56" i="20"/>
  <c r="AD51" i="26" s="1"/>
  <c r="D39" i="14"/>
  <c r="R28" i="18"/>
  <c r="T28" i="18" s="1"/>
  <c r="H18" i="14"/>
  <c r="I18" i="14"/>
  <c r="J18" i="14"/>
  <c r="N29" i="13"/>
  <c r="R81" i="20"/>
  <c r="K29" i="13"/>
  <c r="K15" i="13"/>
  <c r="H30" i="13"/>
  <c r="Q15" i="18"/>
  <c r="K49" i="20"/>
  <c r="E48" i="16"/>
  <c r="N65" i="20"/>
  <c r="Q65" i="20" s="1"/>
  <c r="F66" i="16"/>
  <c r="G66" i="16" s="1"/>
  <c r="O73" i="20"/>
  <c r="R73" i="20" s="1"/>
  <c r="N61" i="6"/>
  <c r="F38" i="20"/>
  <c r="N41" i="4"/>
  <c r="F59" i="20" s="1"/>
  <c r="K43" i="20"/>
  <c r="E42" i="16"/>
  <c r="I43" i="20"/>
  <c r="Q9" i="18"/>
  <c r="N17" i="13"/>
  <c r="L18" i="5"/>
  <c r="H14" i="20"/>
  <c r="D13" i="16"/>
  <c r="H19" i="14"/>
  <c r="I19" i="14"/>
  <c r="J19" i="14"/>
  <c r="H29" i="14"/>
  <c r="I29" i="14"/>
  <c r="J29" i="14"/>
  <c r="H24" i="14"/>
  <c r="I24" i="14"/>
  <c r="J24" i="14"/>
  <c r="B37" i="6"/>
  <c r="B34" i="6"/>
  <c r="N23" i="13"/>
  <c r="J30" i="13"/>
  <c r="Q32" i="18"/>
  <c r="I30" i="13"/>
  <c r="K22" i="13"/>
  <c r="N32" i="13"/>
  <c r="I30" i="20"/>
  <c r="Q19" i="18"/>
  <c r="H32" i="6"/>
  <c r="K53" i="20"/>
  <c r="E52" i="16"/>
  <c r="K25" i="13"/>
  <c r="Q11" i="18"/>
  <c r="I25" i="14"/>
  <c r="H25" i="14"/>
  <c r="J25" i="14"/>
  <c r="F72" i="16"/>
  <c r="G72" i="16" s="1"/>
  <c r="N70" i="20"/>
  <c r="Q70" i="20" s="1"/>
  <c r="N68" i="20"/>
  <c r="Q68" i="20" s="1"/>
  <c r="F70" i="16"/>
  <c r="G70" i="16" s="1"/>
  <c r="K56" i="6"/>
  <c r="O64" i="20"/>
  <c r="R64" i="20" s="1"/>
  <c r="O69" i="20"/>
  <c r="R69" i="20" s="1"/>
  <c r="R58" i="18"/>
  <c r="T58" i="18" s="1"/>
  <c r="N57" i="6"/>
  <c r="AY42" i="20"/>
  <c r="AD37" i="26" s="1"/>
  <c r="D32" i="14"/>
  <c r="B32" i="6"/>
  <c r="D32" i="6" s="1"/>
  <c r="R27" i="18"/>
  <c r="T27" i="18" s="1"/>
  <c r="B33" i="6"/>
  <c r="H28" i="14"/>
  <c r="I28" i="14"/>
  <c r="J28" i="14"/>
  <c r="K24" i="13"/>
  <c r="Q30" i="18"/>
  <c r="N38" i="13"/>
  <c r="D29" i="16"/>
  <c r="L26" i="5"/>
  <c r="H30" i="20"/>
  <c r="L24" i="5"/>
  <c r="D25" i="16"/>
  <c r="H26" i="20"/>
  <c r="Q17" i="18"/>
  <c r="K41" i="20"/>
  <c r="E40" i="16"/>
  <c r="I47" i="20"/>
  <c r="K19" i="13"/>
  <c r="H23" i="14"/>
  <c r="I23" i="14"/>
  <c r="J23" i="14"/>
  <c r="N55" i="6"/>
  <c r="R54" i="18"/>
  <c r="T54" i="18" s="1"/>
  <c r="O67" i="20"/>
  <c r="R67" i="20" s="1"/>
  <c r="R60" i="18"/>
  <c r="T60" i="18" s="1"/>
  <c r="O70" i="20"/>
  <c r="R70" i="20" s="1"/>
  <c r="N58" i="6"/>
  <c r="K32" i="14"/>
  <c r="H26" i="14"/>
  <c r="J26" i="14"/>
  <c r="I26" i="14"/>
  <c r="N24" i="13"/>
  <c r="L26" i="20" s="1"/>
  <c r="K53" i="6"/>
  <c r="N15" i="13"/>
  <c r="Q7" i="18"/>
  <c r="M30" i="13"/>
  <c r="Q13" i="18"/>
  <c r="N21" i="13"/>
  <c r="L20" i="5"/>
  <c r="H18" i="20"/>
  <c r="D17" i="16"/>
  <c r="I26" i="20"/>
  <c r="Q31" i="18"/>
  <c r="L16" i="5"/>
  <c r="D9" i="16"/>
  <c r="H10" i="20"/>
  <c r="I15" i="14"/>
  <c r="AL9" i="20" s="1"/>
  <c r="Q4" i="26" s="1"/>
  <c r="J15" i="14"/>
  <c r="AY9" i="20"/>
  <c r="AD4" i="26" s="1"/>
  <c r="H15" i="14"/>
  <c r="J17" i="14"/>
  <c r="H17" i="14"/>
  <c r="I17" i="14"/>
  <c r="F69" i="16"/>
  <c r="G69" i="16" s="1"/>
  <c r="N67" i="20"/>
  <c r="Q67" i="20" s="1"/>
  <c r="K55" i="6"/>
  <c r="I22" i="14"/>
  <c r="J22" i="14"/>
  <c r="AY23" i="20"/>
  <c r="H22" i="14"/>
  <c r="I16" i="14"/>
  <c r="H16" i="14"/>
  <c r="J16" i="14"/>
  <c r="H20" i="14"/>
  <c r="J20" i="14"/>
  <c r="I20" i="14"/>
  <c r="E46" i="16"/>
  <c r="K47" i="20"/>
  <c r="K21" i="13"/>
  <c r="I51" i="20"/>
  <c r="I14" i="20"/>
  <c r="D38" i="14"/>
  <c r="N56" i="6"/>
  <c r="O68" i="20"/>
  <c r="R68" i="20" s="1"/>
  <c r="R56" i="18"/>
  <c r="T56" i="18" s="1"/>
  <c r="D40" i="14"/>
  <c r="N36" i="14"/>
  <c r="O49" i="20" s="1"/>
  <c r="R49" i="20" s="1"/>
  <c r="R83" i="20"/>
  <c r="K10" i="13"/>
  <c r="K6" i="20" s="1"/>
  <c r="N88" i="13"/>
  <c r="L75" i="20"/>
  <c r="N63" i="14"/>
  <c r="O75" i="20" s="1"/>
  <c r="O74" i="20"/>
  <c r="R74" i="20" s="1"/>
  <c r="K57" i="20" l="1"/>
  <c r="AK42" i="20"/>
  <c r="AK44" i="20"/>
  <c r="AC41" i="16"/>
  <c r="K40" i="14"/>
  <c r="K40" i="6" s="1"/>
  <c r="H45" i="18" s="1"/>
  <c r="AK58" i="20"/>
  <c r="P53" i="26" s="1"/>
  <c r="S53" i="26" s="1"/>
  <c r="E54" i="16"/>
  <c r="AK46" i="20"/>
  <c r="P41" i="26" s="1"/>
  <c r="S41" i="26" s="1"/>
  <c r="Z45" i="16"/>
  <c r="AC45" i="16" s="1"/>
  <c r="AC55" i="16"/>
  <c r="AC43" i="16"/>
  <c r="H34" i="6"/>
  <c r="H37" i="6"/>
  <c r="J29" i="18" s="1"/>
  <c r="E49" i="16"/>
  <c r="H33" i="6"/>
  <c r="M25" i="18" s="1"/>
  <c r="H39" i="6"/>
  <c r="K31" i="18" s="1"/>
  <c r="AK56" i="20"/>
  <c r="P51" i="26" s="1"/>
  <c r="S51" i="26" s="1"/>
  <c r="K33" i="14"/>
  <c r="F42" i="16" s="1"/>
  <c r="G42" i="16" s="1"/>
  <c r="AK52" i="20"/>
  <c r="AN52" i="20" s="1"/>
  <c r="K37" i="14"/>
  <c r="F50" i="16" s="1"/>
  <c r="E43" i="16"/>
  <c r="E6" i="16"/>
  <c r="K51" i="20"/>
  <c r="AC51" i="16"/>
  <c r="AK50" i="20"/>
  <c r="P45" i="26" s="1"/>
  <c r="E73" i="16"/>
  <c r="K74" i="13"/>
  <c r="E88" i="16" s="1"/>
  <c r="T5" i="23"/>
  <c r="K52" i="20"/>
  <c r="K71" i="20"/>
  <c r="E53" i="16"/>
  <c r="K48" i="20"/>
  <c r="E50" i="16"/>
  <c r="K42" i="20"/>
  <c r="E57" i="16"/>
  <c r="K46" i="20"/>
  <c r="K45" i="20"/>
  <c r="Z49" i="16"/>
  <c r="AC49" i="16" s="1"/>
  <c r="E44" i="16"/>
  <c r="H36" i="6"/>
  <c r="L28" i="18" s="1"/>
  <c r="K39" i="14"/>
  <c r="K39" i="6" s="1"/>
  <c r="B8" i="9"/>
  <c r="A9" i="9"/>
  <c r="D16" i="16"/>
  <c r="H13" i="20"/>
  <c r="H9" i="20"/>
  <c r="D20" i="16"/>
  <c r="K35" i="14"/>
  <c r="L32" i="18"/>
  <c r="A60" i="18"/>
  <c r="U60" i="18" s="1"/>
  <c r="J32" i="18"/>
  <c r="I32" i="18"/>
  <c r="K32" i="18"/>
  <c r="AE37" i="26"/>
  <c r="R17" i="18"/>
  <c r="T17" i="18" s="1"/>
  <c r="AY29" i="20"/>
  <c r="AD24" i="26" s="1"/>
  <c r="N12" i="26"/>
  <c r="AK13" i="20"/>
  <c r="P8" i="26" s="1"/>
  <c r="Z12" i="16"/>
  <c r="AC12" i="16" s="1"/>
  <c r="N37" i="14"/>
  <c r="O51" i="20" s="1"/>
  <c r="R51" i="20" s="1"/>
  <c r="AY52" i="20"/>
  <c r="AK17" i="20"/>
  <c r="Z16" i="16"/>
  <c r="AC16" i="16" s="1"/>
  <c r="R10" i="18"/>
  <c r="T10" i="18" s="1"/>
  <c r="AY15" i="20"/>
  <c r="AD10" i="26" s="1"/>
  <c r="AL21" i="20"/>
  <c r="Q16" i="26" s="1"/>
  <c r="T16" i="26" s="1"/>
  <c r="AA20" i="16"/>
  <c r="AD20" i="16" s="1"/>
  <c r="AD43" i="26"/>
  <c r="AE43" i="26" s="1"/>
  <c r="AZ48" i="20"/>
  <c r="M16" i="26"/>
  <c r="O4" i="26"/>
  <c r="P37" i="26"/>
  <c r="S37" i="26" s="1"/>
  <c r="AN42" i="20"/>
  <c r="AZ58" i="20"/>
  <c r="I18" i="6"/>
  <c r="AL15" i="20"/>
  <c r="Q10" i="26" s="1"/>
  <c r="T10" i="26" s="1"/>
  <c r="AA14" i="16"/>
  <c r="AD14" i="16" s="1"/>
  <c r="AK23" i="20"/>
  <c r="Z22" i="16"/>
  <c r="AC22" i="16" s="1"/>
  <c r="J20" i="6"/>
  <c r="AM19" i="20"/>
  <c r="AB18" i="16"/>
  <c r="AE18" i="16" s="1"/>
  <c r="AZ23" i="20"/>
  <c r="AD18" i="26"/>
  <c r="AE18" i="26" s="1"/>
  <c r="R9" i="18"/>
  <c r="T9" i="18" s="1"/>
  <c r="AY13" i="20"/>
  <c r="H26" i="6"/>
  <c r="AK31" i="20"/>
  <c r="P26" i="26" s="1"/>
  <c r="S26" i="26" s="1"/>
  <c r="Z30" i="16"/>
  <c r="AC30" i="16" s="1"/>
  <c r="R15" i="18"/>
  <c r="T15" i="18" s="1"/>
  <c r="AY25" i="20"/>
  <c r="J28" i="6"/>
  <c r="AM35" i="20"/>
  <c r="AB34" i="16"/>
  <c r="AE34" i="16" s="1"/>
  <c r="J29" i="6"/>
  <c r="AM37" i="20"/>
  <c r="R32" i="26" s="1"/>
  <c r="AB36" i="16"/>
  <c r="AE36" i="16" s="1"/>
  <c r="AK15" i="20"/>
  <c r="P10" i="26" s="1"/>
  <c r="S10" i="26" s="1"/>
  <c r="Z14" i="16"/>
  <c r="AC14" i="16" s="1"/>
  <c r="H21" i="6"/>
  <c r="AK21" i="20"/>
  <c r="P16" i="26" s="1"/>
  <c r="Z20" i="16"/>
  <c r="AC20" i="16" s="1"/>
  <c r="M8" i="26"/>
  <c r="AE53" i="26"/>
  <c r="O12" i="26"/>
  <c r="I20" i="6"/>
  <c r="AL19" i="20"/>
  <c r="Q14" i="26" s="1"/>
  <c r="T14" i="26" s="1"/>
  <c r="AA18" i="16"/>
  <c r="AD18" i="16" s="1"/>
  <c r="J26" i="6"/>
  <c r="AM31" i="20"/>
  <c r="AB30" i="16"/>
  <c r="AE30" i="16" s="1"/>
  <c r="R12" i="18"/>
  <c r="T12" i="18" s="1"/>
  <c r="AY19" i="20"/>
  <c r="J22" i="6"/>
  <c r="AB22" i="16"/>
  <c r="AE22" i="16" s="1"/>
  <c r="AM23" i="20"/>
  <c r="R18" i="26" s="1"/>
  <c r="U18" i="26" s="1"/>
  <c r="J17" i="6"/>
  <c r="AM13" i="20"/>
  <c r="AB12" i="16"/>
  <c r="AE12" i="16" s="1"/>
  <c r="J23" i="6"/>
  <c r="AM25" i="20"/>
  <c r="R20" i="26" s="1"/>
  <c r="U20" i="26" s="1"/>
  <c r="AB24" i="16"/>
  <c r="AE24" i="16" s="1"/>
  <c r="I28" i="6"/>
  <c r="AL35" i="20"/>
  <c r="AA34" i="16"/>
  <c r="AD34" i="16" s="1"/>
  <c r="J24" i="6"/>
  <c r="AM27" i="20"/>
  <c r="AB26" i="16"/>
  <c r="AE26" i="16" s="1"/>
  <c r="I29" i="6"/>
  <c r="AL37" i="20"/>
  <c r="Q32" i="26" s="1"/>
  <c r="AA36" i="16"/>
  <c r="AD36" i="16" s="1"/>
  <c r="J27" i="6"/>
  <c r="AB32" i="16"/>
  <c r="AE32" i="16" s="1"/>
  <c r="AM33" i="20"/>
  <c r="N20" i="26"/>
  <c r="AC26" i="26"/>
  <c r="N4" i="26"/>
  <c r="T4" i="26" s="1"/>
  <c r="AO9" i="20"/>
  <c r="N8" i="26"/>
  <c r="N32" i="26"/>
  <c r="M28" i="26"/>
  <c r="AC24" i="26"/>
  <c r="I16" i="6"/>
  <c r="AL11" i="20"/>
  <c r="Q6" i="26" s="1"/>
  <c r="T6" i="26" s="1"/>
  <c r="AA10" i="16"/>
  <c r="AD10" i="16" s="1"/>
  <c r="J21" i="6"/>
  <c r="AM21" i="20"/>
  <c r="R16" i="26" s="1"/>
  <c r="AB20" i="16"/>
  <c r="AE20" i="16" s="1"/>
  <c r="AK19" i="20"/>
  <c r="P14" i="26" s="1"/>
  <c r="S14" i="26" s="1"/>
  <c r="Z18" i="16"/>
  <c r="AC18" i="16" s="1"/>
  <c r="I22" i="6"/>
  <c r="AL23" i="20"/>
  <c r="Q18" i="26" s="1"/>
  <c r="T18" i="26" s="1"/>
  <c r="AA22" i="16"/>
  <c r="AD22" i="16" s="1"/>
  <c r="AK9" i="20"/>
  <c r="Z8" i="16"/>
  <c r="AC8" i="16" s="1"/>
  <c r="I23" i="6"/>
  <c r="AA24" i="16"/>
  <c r="AD24" i="16" s="1"/>
  <c r="AL25" i="20"/>
  <c r="Q20" i="26" s="1"/>
  <c r="R20" i="18"/>
  <c r="T20" i="18" s="1"/>
  <c r="AY35" i="20"/>
  <c r="R16" i="18"/>
  <c r="T16" i="18" s="1"/>
  <c r="AY27" i="20"/>
  <c r="AD22" i="26" s="1"/>
  <c r="Z36" i="16"/>
  <c r="AC36" i="16" s="1"/>
  <c r="AK37" i="20"/>
  <c r="P32" i="26" s="1"/>
  <c r="I27" i="6"/>
  <c r="AL33" i="20"/>
  <c r="AA32" i="16"/>
  <c r="AD32" i="16" s="1"/>
  <c r="AC28" i="26"/>
  <c r="M43" i="26"/>
  <c r="N26" i="14"/>
  <c r="N26" i="6" s="1"/>
  <c r="AY31" i="20"/>
  <c r="AD26" i="26" s="1"/>
  <c r="R8" i="18"/>
  <c r="T8" i="18" s="1"/>
  <c r="AY11" i="20"/>
  <c r="AK25" i="20"/>
  <c r="Z24" i="16"/>
  <c r="AC24" i="16" s="1"/>
  <c r="H28" i="6"/>
  <c r="AK35" i="20"/>
  <c r="Z34" i="16"/>
  <c r="AC34" i="16" s="1"/>
  <c r="J25" i="6"/>
  <c r="AM29" i="20"/>
  <c r="R24" i="26" s="1"/>
  <c r="AB28" i="16"/>
  <c r="AE28" i="16" s="1"/>
  <c r="I24" i="6"/>
  <c r="AL27" i="20"/>
  <c r="Q22" i="26" s="1"/>
  <c r="T22" i="26" s="1"/>
  <c r="AA26" i="16"/>
  <c r="AD26" i="16" s="1"/>
  <c r="R21" i="18"/>
  <c r="T21" i="18" s="1"/>
  <c r="AY37" i="20"/>
  <c r="R19" i="18"/>
  <c r="T19" i="18" s="1"/>
  <c r="AY33" i="20"/>
  <c r="AD28" i="26" s="1"/>
  <c r="AK48" i="20"/>
  <c r="P43" i="26" s="1"/>
  <c r="Z47" i="16"/>
  <c r="AC47" i="16" s="1"/>
  <c r="AK54" i="20"/>
  <c r="Z53" i="16"/>
  <c r="AC53" i="16" s="1"/>
  <c r="N24" i="26"/>
  <c r="M32" i="26"/>
  <c r="M45" i="26"/>
  <c r="O6" i="26"/>
  <c r="AZ50" i="20"/>
  <c r="N26" i="26"/>
  <c r="O24" i="26"/>
  <c r="AC22" i="26"/>
  <c r="J16" i="6"/>
  <c r="AM11" i="20"/>
  <c r="R6" i="26" s="1"/>
  <c r="AB10" i="16"/>
  <c r="AE10" i="16" s="1"/>
  <c r="AM9" i="20"/>
  <c r="R4" i="26" s="1"/>
  <c r="AB8" i="16"/>
  <c r="AE8" i="16" s="1"/>
  <c r="H25" i="6"/>
  <c r="Z28" i="16"/>
  <c r="AC28" i="16" s="1"/>
  <c r="AK29" i="20"/>
  <c r="P24" i="26" s="1"/>
  <c r="Z26" i="16"/>
  <c r="AC26" i="16" s="1"/>
  <c r="AK27" i="20"/>
  <c r="R11" i="18"/>
  <c r="T11" i="18" s="1"/>
  <c r="AY17" i="20"/>
  <c r="AD12" i="26" s="1"/>
  <c r="AE12" i="26" s="1"/>
  <c r="AK33" i="20"/>
  <c r="P28" i="26" s="1"/>
  <c r="Z32" i="16"/>
  <c r="AC32" i="16" s="1"/>
  <c r="AC51" i="26"/>
  <c r="AE51" i="26" s="1"/>
  <c r="AZ56" i="20"/>
  <c r="M6" i="26"/>
  <c r="AZ9" i="20"/>
  <c r="O16" i="26"/>
  <c r="AE45" i="26"/>
  <c r="AZ54" i="20"/>
  <c r="M24" i="26"/>
  <c r="I17" i="6"/>
  <c r="AL13" i="20"/>
  <c r="Q8" i="26" s="1"/>
  <c r="AA12" i="16"/>
  <c r="AD12" i="16" s="1"/>
  <c r="I19" i="6"/>
  <c r="AL17" i="20"/>
  <c r="Q12" i="26" s="1"/>
  <c r="AA16" i="16"/>
  <c r="AD16" i="16" s="1"/>
  <c r="AK11" i="20"/>
  <c r="P6" i="26" s="1"/>
  <c r="Z10" i="16"/>
  <c r="AC10" i="16" s="1"/>
  <c r="I26" i="6"/>
  <c r="AL31" i="20"/>
  <c r="Q26" i="26" s="1"/>
  <c r="AA30" i="16"/>
  <c r="AD30" i="16" s="1"/>
  <c r="N33" i="14"/>
  <c r="N33" i="6" s="1"/>
  <c r="AY44" i="20"/>
  <c r="I25" i="6"/>
  <c r="AA28" i="16"/>
  <c r="AD28" i="16" s="1"/>
  <c r="AL29" i="20"/>
  <c r="Q24" i="26" s="1"/>
  <c r="N34" i="14"/>
  <c r="O45" i="20" s="1"/>
  <c r="R45" i="20" s="1"/>
  <c r="AY46" i="20"/>
  <c r="J19" i="6"/>
  <c r="AM17" i="20"/>
  <c r="R12" i="26" s="1"/>
  <c r="AB16" i="16"/>
  <c r="AE16" i="16" s="1"/>
  <c r="J18" i="6"/>
  <c r="AM15" i="20"/>
  <c r="R10" i="26" s="1"/>
  <c r="U10" i="26" s="1"/>
  <c r="AB14" i="16"/>
  <c r="AE14" i="16" s="1"/>
  <c r="R13" i="18"/>
  <c r="T13" i="18" s="1"/>
  <c r="AY21" i="20"/>
  <c r="AZ42" i="20"/>
  <c r="AE4" i="26"/>
  <c r="P39" i="26"/>
  <c r="S39" i="26" s="1"/>
  <c r="AN44" i="20"/>
  <c r="O32" i="26"/>
  <c r="AC10" i="26"/>
  <c r="I15" i="6"/>
  <c r="AA8" i="16"/>
  <c r="AD8" i="16" s="1"/>
  <c r="K250" i="9"/>
  <c r="K245" i="9"/>
  <c r="S66" i="18"/>
  <c r="D37" i="16"/>
  <c r="K41" i="5"/>
  <c r="L65" i="20"/>
  <c r="N53" i="13"/>
  <c r="Q51" i="18" s="1"/>
  <c r="N52" i="14"/>
  <c r="R66" i="18"/>
  <c r="T66" i="18" s="1"/>
  <c r="H38" i="6"/>
  <c r="K32" i="6"/>
  <c r="L71" i="20"/>
  <c r="L100" i="20" s="1"/>
  <c r="Q62" i="18"/>
  <c r="K36" i="6"/>
  <c r="O96" i="20"/>
  <c r="R96" i="20" s="1"/>
  <c r="F67" i="16"/>
  <c r="G67" i="16" s="1"/>
  <c r="M51" i="18"/>
  <c r="S51" i="18" s="1"/>
  <c r="K38" i="6"/>
  <c r="F45" i="18" s="1"/>
  <c r="N38" i="14"/>
  <c r="O53" i="20" s="1"/>
  <c r="O98" i="20" s="1"/>
  <c r="D32" i="16"/>
  <c r="K247" i="9"/>
  <c r="L266" i="9"/>
  <c r="K265" i="9" s="1"/>
  <c r="K262" i="9"/>
  <c r="K254" i="9"/>
  <c r="K263" i="9"/>
  <c r="K256" i="9"/>
  <c r="K248" i="9"/>
  <c r="K243" i="9"/>
  <c r="K252" i="9"/>
  <c r="K244" i="9"/>
  <c r="K251" i="9"/>
  <c r="K249" i="9"/>
  <c r="K246" i="9"/>
  <c r="C38" i="16"/>
  <c r="K42" i="4"/>
  <c r="K43" i="4" s="1"/>
  <c r="E59" i="20"/>
  <c r="C58" i="16"/>
  <c r="L26" i="13"/>
  <c r="K31" i="20" s="1"/>
  <c r="D22" i="16"/>
  <c r="D24" i="16"/>
  <c r="H35" i="20"/>
  <c r="N25" i="14"/>
  <c r="O28" i="20" s="1"/>
  <c r="R28" i="20" s="1"/>
  <c r="K14" i="20"/>
  <c r="E39" i="20"/>
  <c r="M27" i="6"/>
  <c r="M28" i="6"/>
  <c r="N27" i="14"/>
  <c r="O32" i="20" s="1"/>
  <c r="R32" i="20" s="1"/>
  <c r="H38" i="20"/>
  <c r="A64" i="18"/>
  <c r="U65" i="18" s="1"/>
  <c r="L18" i="13"/>
  <c r="K15" i="20" s="1"/>
  <c r="N18" i="14"/>
  <c r="O14" i="20" s="1"/>
  <c r="R14" i="20" s="1"/>
  <c r="L27" i="13"/>
  <c r="K33" i="20" s="1"/>
  <c r="I38" i="20"/>
  <c r="M25" i="6"/>
  <c r="K22" i="14"/>
  <c r="L22" i="14" s="1"/>
  <c r="K32" i="20"/>
  <c r="K27" i="14"/>
  <c r="L27" i="14" s="1"/>
  <c r="M18" i="6"/>
  <c r="N20" i="14"/>
  <c r="O18" i="20" s="1"/>
  <c r="R18" i="20" s="1"/>
  <c r="H27" i="6"/>
  <c r="K20" i="14"/>
  <c r="L20" i="14" s="1"/>
  <c r="K21" i="14"/>
  <c r="N20" i="20" s="1"/>
  <c r="K30" i="20"/>
  <c r="R76" i="20"/>
  <c r="N29" i="14"/>
  <c r="O36" i="20" s="1"/>
  <c r="K17" i="14"/>
  <c r="L17" i="14" s="1"/>
  <c r="L16" i="13"/>
  <c r="E10" i="16" s="1"/>
  <c r="K18" i="20"/>
  <c r="N35" i="6"/>
  <c r="A27" i="18" s="1"/>
  <c r="U27" i="18" s="1"/>
  <c r="L20" i="13"/>
  <c r="K19" i="20" s="1"/>
  <c r="R47" i="20"/>
  <c r="K10" i="20"/>
  <c r="M38" i="6"/>
  <c r="L30" i="5"/>
  <c r="M29" i="6"/>
  <c r="N36" i="6"/>
  <c r="N16" i="14"/>
  <c r="K16" i="14"/>
  <c r="F9" i="16" s="1"/>
  <c r="G9" i="16" s="1"/>
  <c r="K23" i="14"/>
  <c r="F23" i="16" s="1"/>
  <c r="M21" i="6"/>
  <c r="K26" i="14"/>
  <c r="K26" i="6" s="1"/>
  <c r="M16" i="6"/>
  <c r="N21" i="14"/>
  <c r="O20" i="20" s="1"/>
  <c r="M24" i="6"/>
  <c r="H23" i="6"/>
  <c r="M23" i="6"/>
  <c r="D10" i="16"/>
  <c r="H11" i="20"/>
  <c r="L24" i="13"/>
  <c r="K26" i="20"/>
  <c r="E25" i="16"/>
  <c r="R29" i="18"/>
  <c r="T29" i="18" s="1"/>
  <c r="M37" i="6"/>
  <c r="H24" i="6"/>
  <c r="N24" i="14"/>
  <c r="H29" i="6"/>
  <c r="R31" i="18"/>
  <c r="T31" i="18" s="1"/>
  <c r="L23" i="13"/>
  <c r="K24" i="20"/>
  <c r="E23" i="16"/>
  <c r="K28" i="14"/>
  <c r="K28" i="6" s="1"/>
  <c r="J30" i="14"/>
  <c r="R18" i="18"/>
  <c r="T18" i="18" s="1"/>
  <c r="M26" i="6"/>
  <c r="I21" i="6"/>
  <c r="D26" i="16"/>
  <c r="H27" i="20"/>
  <c r="I27" i="18"/>
  <c r="K27" i="18"/>
  <c r="L27" i="18"/>
  <c r="J27" i="18"/>
  <c r="M27" i="18"/>
  <c r="R25" i="18"/>
  <c r="T25" i="18" s="1"/>
  <c r="M33" i="6"/>
  <c r="L24" i="20"/>
  <c r="N39" i="14"/>
  <c r="L12" i="20"/>
  <c r="L29" i="13"/>
  <c r="E35" i="16"/>
  <c r="K36" i="20"/>
  <c r="F52" i="16"/>
  <c r="G52" i="16" s="1"/>
  <c r="N53" i="20"/>
  <c r="Q53" i="20" s="1"/>
  <c r="N23" i="14"/>
  <c r="O24" i="20" s="1"/>
  <c r="R14" i="18"/>
  <c r="T14" i="18" s="1"/>
  <c r="M22" i="6"/>
  <c r="H30" i="14"/>
  <c r="F40" i="16"/>
  <c r="G40" i="16" s="1"/>
  <c r="N41" i="20"/>
  <c r="Q41" i="20" s="1"/>
  <c r="R24" i="18"/>
  <c r="T24" i="18" s="1"/>
  <c r="L25" i="13"/>
  <c r="K28" i="20"/>
  <c r="E27" i="16"/>
  <c r="L22" i="13"/>
  <c r="E21" i="16"/>
  <c r="K22" i="20"/>
  <c r="K19" i="14"/>
  <c r="K19" i="6" s="1"/>
  <c r="H18" i="6"/>
  <c r="K26" i="18"/>
  <c r="J26" i="18"/>
  <c r="M26" i="18"/>
  <c r="L26" i="18"/>
  <c r="I26" i="18"/>
  <c r="K15" i="14"/>
  <c r="K15" i="6" s="1"/>
  <c r="H31" i="20"/>
  <c r="D30" i="16"/>
  <c r="N22" i="14"/>
  <c r="K29" i="14"/>
  <c r="K29" i="6" s="1"/>
  <c r="K24" i="14"/>
  <c r="K73" i="6"/>
  <c r="F87" i="16"/>
  <c r="G87" i="16" s="1"/>
  <c r="A87" i="16" s="1"/>
  <c r="N85" i="20"/>
  <c r="Q85" i="20" s="1"/>
  <c r="A83" i="14"/>
  <c r="F48" i="16"/>
  <c r="G48" i="16" s="1"/>
  <c r="N49" i="20"/>
  <c r="Q49" i="20" s="1"/>
  <c r="N15" i="14"/>
  <c r="M30" i="14"/>
  <c r="R7" i="18"/>
  <c r="T7" i="18" s="1"/>
  <c r="R75" i="20"/>
  <c r="L21" i="13"/>
  <c r="K20" i="20"/>
  <c r="E19" i="16"/>
  <c r="N28" i="14"/>
  <c r="O34" i="20" s="1"/>
  <c r="A54" i="18"/>
  <c r="I30" i="14"/>
  <c r="M15" i="6"/>
  <c r="H19" i="6"/>
  <c r="L53" i="20"/>
  <c r="L98" i="20" s="1"/>
  <c r="L24" i="18"/>
  <c r="M24" i="18"/>
  <c r="K24" i="18"/>
  <c r="J24" i="18"/>
  <c r="I24" i="18"/>
  <c r="M17" i="6"/>
  <c r="N17" i="14"/>
  <c r="O12" i="20" s="1"/>
  <c r="H17" i="6"/>
  <c r="L34" i="20"/>
  <c r="H16" i="6"/>
  <c r="H20" i="6"/>
  <c r="L19" i="13"/>
  <c r="E15" i="16"/>
  <c r="K16" i="20"/>
  <c r="H15" i="20"/>
  <c r="D14" i="16"/>
  <c r="H15" i="6"/>
  <c r="L36" i="20"/>
  <c r="F44" i="16"/>
  <c r="N45" i="20"/>
  <c r="K34" i="6"/>
  <c r="L17" i="13"/>
  <c r="E11" i="16"/>
  <c r="K12" i="20"/>
  <c r="R32" i="18"/>
  <c r="T32" i="18" s="1"/>
  <c r="M40" i="6"/>
  <c r="R30" i="18"/>
  <c r="T30" i="18" s="1"/>
  <c r="K18" i="14"/>
  <c r="D18" i="16"/>
  <c r="H19" i="20"/>
  <c r="L8" i="20"/>
  <c r="N30" i="13"/>
  <c r="A56" i="18"/>
  <c r="M19" i="6"/>
  <c r="K8" i="20"/>
  <c r="K30" i="13"/>
  <c r="K41" i="13" s="1"/>
  <c r="L15" i="13"/>
  <c r="E7" i="16"/>
  <c r="M20" i="6"/>
  <c r="L28" i="13"/>
  <c r="E33" i="16"/>
  <c r="K34" i="20"/>
  <c r="K25" i="14"/>
  <c r="K25" i="6" s="1"/>
  <c r="H22" i="6"/>
  <c r="L20" i="20"/>
  <c r="N32" i="14"/>
  <c r="O41" i="20" s="1"/>
  <c r="L41" i="20"/>
  <c r="J15" i="6"/>
  <c r="R26" i="18"/>
  <c r="T26" i="18" s="1"/>
  <c r="M34" i="6"/>
  <c r="N19" i="14"/>
  <c r="N40" i="14"/>
  <c r="A58" i="18"/>
  <c r="M32" i="6"/>
  <c r="M39" i="6"/>
  <c r="N88" i="14"/>
  <c r="O103" i="20" s="1"/>
  <c r="L103" i="20"/>
  <c r="K8" i="14"/>
  <c r="L38" i="14" s="1"/>
  <c r="F56" i="16" l="1"/>
  <c r="G56" i="16" s="1"/>
  <c r="N57" i="20"/>
  <c r="Q57" i="20" s="1"/>
  <c r="P88" i="13"/>
  <c r="AN58" i="20"/>
  <c r="AN46" i="20"/>
  <c r="L25" i="18"/>
  <c r="J25" i="18"/>
  <c r="K29" i="18"/>
  <c r="M29" i="18"/>
  <c r="I29" i="18"/>
  <c r="K25" i="18"/>
  <c r="I31" i="18"/>
  <c r="L31" i="18"/>
  <c r="M31" i="18"/>
  <c r="L29" i="18"/>
  <c r="J31" i="18"/>
  <c r="I25" i="18"/>
  <c r="G44" i="16"/>
  <c r="M28" i="18"/>
  <c r="AN56" i="20"/>
  <c r="N43" i="20"/>
  <c r="Q43" i="20" s="1"/>
  <c r="AN50" i="20"/>
  <c r="P47" i="26"/>
  <c r="S47" i="26" s="1"/>
  <c r="N51" i="20"/>
  <c r="Q51" i="20" s="1"/>
  <c r="K33" i="6"/>
  <c r="K37" i="6"/>
  <c r="K86" i="20"/>
  <c r="I28" i="18"/>
  <c r="J28" i="18"/>
  <c r="A28" i="18"/>
  <c r="U28" i="18" s="1"/>
  <c r="K28" i="18"/>
  <c r="G50" i="16"/>
  <c r="S45" i="26"/>
  <c r="L36" i="14"/>
  <c r="F49" i="16" s="1"/>
  <c r="Q45" i="20"/>
  <c r="L37" i="14"/>
  <c r="F54" i="16"/>
  <c r="G54" i="16" s="1"/>
  <c r="L33" i="14"/>
  <c r="N55" i="20"/>
  <c r="Q55" i="20" s="1"/>
  <c r="L32" i="14"/>
  <c r="N42" i="20" s="1"/>
  <c r="N59" i="14"/>
  <c r="N74" i="14" s="1"/>
  <c r="O86" i="20" s="1"/>
  <c r="K59" i="14"/>
  <c r="K74" i="14" s="1"/>
  <c r="L35" i="14"/>
  <c r="L34" i="14"/>
  <c r="L40" i="14"/>
  <c r="G44" i="18"/>
  <c r="G45" i="18"/>
  <c r="K261" i="9"/>
  <c r="K257" i="9"/>
  <c r="K258" i="9"/>
  <c r="K255" i="9"/>
  <c r="K260" i="9"/>
  <c r="B9" i="9"/>
  <c r="A10" i="9"/>
  <c r="K259" i="9"/>
  <c r="K264" i="9"/>
  <c r="U61" i="18"/>
  <c r="F46" i="16"/>
  <c r="G46" i="16" s="1"/>
  <c r="K35" i="6"/>
  <c r="N47" i="20"/>
  <c r="Q47" i="20" s="1"/>
  <c r="J17" i="18"/>
  <c r="U16" i="26"/>
  <c r="AZ29" i="20"/>
  <c r="AE24" i="26"/>
  <c r="S32" i="18"/>
  <c r="M17" i="18"/>
  <c r="S24" i="26"/>
  <c r="A17" i="18"/>
  <c r="U17" i="18" s="1"/>
  <c r="T32" i="26"/>
  <c r="AE22" i="26"/>
  <c r="L17" i="18"/>
  <c r="AZ27" i="20"/>
  <c r="AO19" i="20"/>
  <c r="K20" i="18"/>
  <c r="AO15" i="20"/>
  <c r="M20" i="18"/>
  <c r="K17" i="18"/>
  <c r="L18" i="18"/>
  <c r="U32" i="26"/>
  <c r="AO37" i="20"/>
  <c r="I17" i="18"/>
  <c r="AN37" i="20"/>
  <c r="S32" i="26"/>
  <c r="K18" i="18"/>
  <c r="AO27" i="20"/>
  <c r="O43" i="20"/>
  <c r="R43" i="20" s="1"/>
  <c r="I20" i="18"/>
  <c r="L20" i="18"/>
  <c r="A18" i="18"/>
  <c r="U18" i="18" s="1"/>
  <c r="J18" i="18"/>
  <c r="AN29" i="20"/>
  <c r="I18" i="18"/>
  <c r="A20" i="18"/>
  <c r="U20" i="18" s="1"/>
  <c r="AN13" i="20"/>
  <c r="M18" i="18"/>
  <c r="J19" i="18"/>
  <c r="S43" i="26"/>
  <c r="J20" i="18"/>
  <c r="J30" i="6"/>
  <c r="AP11" i="20"/>
  <c r="T8" i="26"/>
  <c r="U6" i="26"/>
  <c r="AO21" i="20"/>
  <c r="T24" i="26"/>
  <c r="AN21" i="20"/>
  <c r="AZ15" i="20"/>
  <c r="AN48" i="20"/>
  <c r="AN19" i="20"/>
  <c r="S16" i="26"/>
  <c r="AE10" i="26"/>
  <c r="T20" i="26"/>
  <c r="AP37" i="20"/>
  <c r="AN31" i="20"/>
  <c r="S8" i="26"/>
  <c r="N34" i="6"/>
  <c r="A26" i="18" s="1"/>
  <c r="U26" i="18" s="1"/>
  <c r="O30" i="20"/>
  <c r="R30" i="20" s="1"/>
  <c r="N37" i="6"/>
  <c r="A29" i="18" s="1"/>
  <c r="U29" i="18" s="1"/>
  <c r="P30" i="26"/>
  <c r="S30" i="26" s="1"/>
  <c r="AN35" i="20"/>
  <c r="Q28" i="26"/>
  <c r="T28" i="26" s="1"/>
  <c r="AO33" i="20"/>
  <c r="S28" i="26"/>
  <c r="AD20" i="26"/>
  <c r="AE20" i="26" s="1"/>
  <c r="AZ25" i="20"/>
  <c r="T12" i="26"/>
  <c r="R28" i="26"/>
  <c r="U28" i="26" s="1"/>
  <c r="AP33" i="20"/>
  <c r="AD39" i="26"/>
  <c r="AE39" i="26" s="1"/>
  <c r="AZ44" i="20"/>
  <c r="AN11" i="20"/>
  <c r="U24" i="26"/>
  <c r="Q30" i="26"/>
  <c r="T30" i="26" s="1"/>
  <c r="AO35" i="20"/>
  <c r="AZ17" i="20"/>
  <c r="S6" i="26"/>
  <c r="P22" i="26"/>
  <c r="S22" i="26" s="1"/>
  <c r="AN27" i="20"/>
  <c r="AP29" i="20"/>
  <c r="P49" i="26"/>
  <c r="S49" i="26" s="1"/>
  <c r="AN54" i="20"/>
  <c r="AZ31" i="20"/>
  <c r="R14" i="26"/>
  <c r="U14" i="26" s="1"/>
  <c r="AP19" i="20"/>
  <c r="P12" i="26"/>
  <c r="S12" i="26" s="1"/>
  <c r="AN17" i="20"/>
  <c r="AN33" i="20"/>
  <c r="R26" i="26"/>
  <c r="U26" i="26" s="1"/>
  <c r="AP31" i="20"/>
  <c r="AO31" i="20"/>
  <c r="P20" i="26"/>
  <c r="S20" i="26" s="1"/>
  <c r="AN25" i="20"/>
  <c r="AZ33" i="20"/>
  <c r="AE26" i="26"/>
  <c r="AD47" i="26"/>
  <c r="AE47" i="26" s="1"/>
  <c r="AZ52" i="20"/>
  <c r="AD32" i="26"/>
  <c r="AE32" i="26" s="1"/>
  <c r="AZ37" i="20"/>
  <c r="R8" i="26"/>
  <c r="U8" i="26" s="1"/>
  <c r="AP13" i="20"/>
  <c r="AD16" i="26"/>
  <c r="AE16" i="26" s="1"/>
  <c r="AZ21" i="20"/>
  <c r="AD41" i="26"/>
  <c r="AE41" i="26" s="1"/>
  <c r="AZ46" i="20"/>
  <c r="T26" i="26"/>
  <c r="AD6" i="26"/>
  <c r="AE6" i="26" s="1"/>
  <c r="AZ11" i="20"/>
  <c r="AE28" i="26"/>
  <c r="P4" i="26"/>
  <c r="S4" i="26" s="1"/>
  <c r="AN9" i="20"/>
  <c r="AO25" i="20"/>
  <c r="AD14" i="26"/>
  <c r="AE14" i="26" s="1"/>
  <c r="AZ19" i="20"/>
  <c r="AP17" i="20"/>
  <c r="AP9" i="20"/>
  <c r="AP15" i="20"/>
  <c r="U12" i="26"/>
  <c r="AP23" i="20"/>
  <c r="AD8" i="26"/>
  <c r="AE8" i="26" s="1"/>
  <c r="AZ13" i="20"/>
  <c r="P18" i="26"/>
  <c r="S18" i="26" s="1"/>
  <c r="AN23" i="20"/>
  <c r="U4" i="26"/>
  <c r="AP21" i="20"/>
  <c r="AO11" i="20"/>
  <c r="AO29" i="20"/>
  <c r="AD30" i="26"/>
  <c r="AE30" i="26" s="1"/>
  <c r="AZ35" i="20"/>
  <c r="AN15" i="20"/>
  <c r="AO13" i="20"/>
  <c r="R22" i="26"/>
  <c r="U22" i="26" s="1"/>
  <c r="AP27" i="20"/>
  <c r="AP25" i="20"/>
  <c r="R30" i="26"/>
  <c r="U30" i="26" s="1"/>
  <c r="AP35" i="20"/>
  <c r="AO23" i="20"/>
  <c r="AO17" i="20"/>
  <c r="I30" i="6"/>
  <c r="E36" i="18"/>
  <c r="F53" i="16"/>
  <c r="N54" i="20"/>
  <c r="D38" i="16"/>
  <c r="K42" i="5"/>
  <c r="H59" i="20"/>
  <c r="D58" i="16"/>
  <c r="O65" i="20"/>
  <c r="R65" i="20" s="1"/>
  <c r="N53" i="14"/>
  <c r="R51" i="18" s="1"/>
  <c r="T51" i="18" s="1"/>
  <c r="N52" i="6"/>
  <c r="N53" i="6" s="1"/>
  <c r="K59" i="20"/>
  <c r="E58" i="16"/>
  <c r="J30" i="18"/>
  <c r="M30" i="18"/>
  <c r="K30" i="18"/>
  <c r="L30" i="18"/>
  <c r="I30" i="18"/>
  <c r="N38" i="6"/>
  <c r="E40" i="18" s="1"/>
  <c r="R53" i="20"/>
  <c r="R98" i="20" s="1"/>
  <c r="K266" i="9"/>
  <c r="L278" i="9"/>
  <c r="K273" i="9" s="1"/>
  <c r="K275" i="9"/>
  <c r="E61" i="20"/>
  <c r="K75" i="4"/>
  <c r="C60" i="16"/>
  <c r="E60" i="20"/>
  <c r="C59" i="16"/>
  <c r="G43" i="18"/>
  <c r="N25" i="6"/>
  <c r="N29" i="6"/>
  <c r="K17" i="6"/>
  <c r="K11" i="20"/>
  <c r="E14" i="16"/>
  <c r="N20" i="6"/>
  <c r="E30" i="16"/>
  <c r="E32" i="16"/>
  <c r="K16" i="6"/>
  <c r="L16" i="14"/>
  <c r="N11" i="20" s="1"/>
  <c r="H39" i="20"/>
  <c r="A19" i="18"/>
  <c r="U19" i="18" s="1"/>
  <c r="N27" i="6"/>
  <c r="R34" i="20"/>
  <c r="N32" i="20"/>
  <c r="Q32" i="20" s="1"/>
  <c r="U64" i="18"/>
  <c r="N10" i="20"/>
  <c r="Q10" i="20" s="1"/>
  <c r="L26" i="14"/>
  <c r="F30" i="16" s="1"/>
  <c r="K27" i="6"/>
  <c r="E18" i="16"/>
  <c r="F31" i="16"/>
  <c r="G31" i="16" s="1"/>
  <c r="K20" i="6"/>
  <c r="A15" i="18"/>
  <c r="U15" i="18" s="1"/>
  <c r="F17" i="16"/>
  <c r="G17" i="16" s="1"/>
  <c r="R24" i="20"/>
  <c r="F11" i="16"/>
  <c r="G11" i="16" s="1"/>
  <c r="N12" i="20"/>
  <c r="J15" i="18"/>
  <c r="N21" i="6"/>
  <c r="R20" i="20"/>
  <c r="I19" i="18"/>
  <c r="N18" i="6"/>
  <c r="K15" i="18"/>
  <c r="M19" i="18"/>
  <c r="L21" i="14"/>
  <c r="F20" i="16" s="1"/>
  <c r="M15" i="18"/>
  <c r="K22" i="6"/>
  <c r="L23" i="14"/>
  <c r="F24" i="16" s="1"/>
  <c r="F29" i="16"/>
  <c r="G29" i="16" s="1"/>
  <c r="K21" i="6"/>
  <c r="L15" i="18"/>
  <c r="K19" i="18"/>
  <c r="F21" i="16"/>
  <c r="G21" i="16" s="1"/>
  <c r="I15" i="18"/>
  <c r="L19" i="18"/>
  <c r="N22" i="20"/>
  <c r="Q22" i="20" s="1"/>
  <c r="N30" i="20"/>
  <c r="Q30" i="20" s="1"/>
  <c r="F19" i="16"/>
  <c r="G19" i="16" s="1"/>
  <c r="R36" i="20"/>
  <c r="N18" i="20"/>
  <c r="Q18" i="20" s="1"/>
  <c r="J13" i="18"/>
  <c r="I13" i="18"/>
  <c r="M13" i="18"/>
  <c r="L13" i="18"/>
  <c r="N24" i="20"/>
  <c r="Q24" i="20" s="1"/>
  <c r="G23" i="16"/>
  <c r="K23" i="6"/>
  <c r="N32" i="6"/>
  <c r="R41" i="20"/>
  <c r="O10" i="20"/>
  <c r="R10" i="20" s="1"/>
  <c r="N16" i="6"/>
  <c r="J9" i="18"/>
  <c r="L9" i="18"/>
  <c r="K9" i="18"/>
  <c r="M9" i="18"/>
  <c r="I9" i="18"/>
  <c r="A9" i="18"/>
  <c r="U9" i="18" s="1"/>
  <c r="A21" i="22"/>
  <c r="P21" i="22" s="1"/>
  <c r="A66" i="18"/>
  <c r="A24" i="22"/>
  <c r="P24" i="22" s="1"/>
  <c r="O57" i="20"/>
  <c r="R57" i="20" s="1"/>
  <c r="N40" i="6"/>
  <c r="A32" i="18" s="1"/>
  <c r="U32" i="18" s="1"/>
  <c r="K14" i="18"/>
  <c r="I14" i="18"/>
  <c r="A14" i="18"/>
  <c r="U14" i="18" s="1"/>
  <c r="J14" i="18"/>
  <c r="M14" i="18"/>
  <c r="L14" i="18"/>
  <c r="E37" i="16"/>
  <c r="K38" i="20"/>
  <c r="K8" i="18"/>
  <c r="J8" i="18"/>
  <c r="I8" i="18"/>
  <c r="M8" i="18"/>
  <c r="L8" i="18"/>
  <c r="A8" i="18"/>
  <c r="U8" i="18" s="1"/>
  <c r="M30" i="6"/>
  <c r="Q20" i="20"/>
  <c r="O22" i="20"/>
  <c r="R22" i="20" s="1"/>
  <c r="N22" i="6"/>
  <c r="K13" i="18"/>
  <c r="G36" i="18"/>
  <c r="G39" i="18"/>
  <c r="G41" i="18"/>
  <c r="G40" i="18"/>
  <c r="G38" i="18"/>
  <c r="G42" i="18"/>
  <c r="G37" i="18"/>
  <c r="R12" i="20"/>
  <c r="N23" i="6"/>
  <c r="E26" i="16"/>
  <c r="K27" i="20"/>
  <c r="E34" i="16"/>
  <c r="K35" i="20"/>
  <c r="K13" i="20"/>
  <c r="E12" i="16"/>
  <c r="K21" i="20"/>
  <c r="E20" i="16"/>
  <c r="E22" i="16"/>
  <c r="K23" i="20"/>
  <c r="O55" i="20"/>
  <c r="R55" i="20" s="1"/>
  <c r="N39" i="6"/>
  <c r="A31" i="18" s="1"/>
  <c r="U31" i="18" s="1"/>
  <c r="N13" i="20"/>
  <c r="F12" i="16"/>
  <c r="O16" i="20"/>
  <c r="R16" i="20" s="1"/>
  <c r="N19" i="6"/>
  <c r="O8" i="20"/>
  <c r="R8" i="20" s="1"/>
  <c r="N30" i="14"/>
  <c r="N41" i="13"/>
  <c r="L59" i="20" s="1"/>
  <c r="L38" i="20"/>
  <c r="F22" i="16"/>
  <c r="N23" i="20"/>
  <c r="L15" i="14"/>
  <c r="N8" i="20"/>
  <c r="Q8" i="20" s="1"/>
  <c r="F7" i="16"/>
  <c r="G7" i="16" s="1"/>
  <c r="K30" i="14"/>
  <c r="K41" i="14" s="1"/>
  <c r="L28" i="14"/>
  <c r="F33" i="16"/>
  <c r="G33" i="16" s="1"/>
  <c r="N34" i="20"/>
  <c r="Q34" i="20" s="1"/>
  <c r="I21" i="18"/>
  <c r="L21" i="18"/>
  <c r="A21" i="18"/>
  <c r="U21" i="18" s="1"/>
  <c r="J21" i="18"/>
  <c r="K21" i="18"/>
  <c r="M21" i="18"/>
  <c r="F32" i="16"/>
  <c r="N33" i="20"/>
  <c r="A12" i="18"/>
  <c r="U12" i="18" s="1"/>
  <c r="J12" i="18"/>
  <c r="L12" i="18"/>
  <c r="I12" i="18"/>
  <c r="M12" i="18"/>
  <c r="K12" i="18"/>
  <c r="L25" i="14"/>
  <c r="F27" i="16"/>
  <c r="G27" i="16" s="1"/>
  <c r="N28" i="20"/>
  <c r="Q28" i="20" s="1"/>
  <c r="U56" i="18"/>
  <c r="U57" i="18"/>
  <c r="N15" i="6"/>
  <c r="K24" i="6"/>
  <c r="N26" i="20"/>
  <c r="Q26" i="20" s="1"/>
  <c r="F25" i="16"/>
  <c r="G25" i="16" s="1"/>
  <c r="L24" i="14"/>
  <c r="A13" i="18"/>
  <c r="U13" i="18" s="1"/>
  <c r="A25" i="18"/>
  <c r="U25" i="18" s="1"/>
  <c r="O26" i="20"/>
  <c r="R26" i="20" s="1"/>
  <c r="N24" i="6"/>
  <c r="N19" i="20"/>
  <c r="F18" i="16"/>
  <c r="L19" i="14"/>
  <c r="F15" i="16"/>
  <c r="G15" i="16" s="1"/>
  <c r="N16" i="20"/>
  <c r="Q16" i="20" s="1"/>
  <c r="E16" i="16"/>
  <c r="K17" i="20"/>
  <c r="N28" i="6"/>
  <c r="S24" i="18"/>
  <c r="U54" i="18"/>
  <c r="U55" i="18"/>
  <c r="A85" i="20"/>
  <c r="H89" i="20"/>
  <c r="K89" i="20"/>
  <c r="E89" i="20"/>
  <c r="N89" i="20"/>
  <c r="B89" i="20"/>
  <c r="F35" i="16"/>
  <c r="G35" i="16" s="1"/>
  <c r="N36" i="20"/>
  <c r="Q36" i="20" s="1"/>
  <c r="L29" i="14"/>
  <c r="I10" i="18"/>
  <c r="M10" i="18"/>
  <c r="J10" i="18"/>
  <c r="A10" i="18"/>
  <c r="U10" i="18" s="1"/>
  <c r="K10" i="18"/>
  <c r="L10" i="18"/>
  <c r="E28" i="16"/>
  <c r="K29" i="20"/>
  <c r="E36" i="16"/>
  <c r="K37" i="20"/>
  <c r="K25" i="20"/>
  <c r="E24" i="16"/>
  <c r="U59" i="18"/>
  <c r="U58" i="18"/>
  <c r="K9" i="20"/>
  <c r="L30" i="13"/>
  <c r="K42" i="13" s="1"/>
  <c r="K43" i="13" s="1"/>
  <c r="E8" i="16"/>
  <c r="K18" i="6"/>
  <c r="N14" i="20"/>
  <c r="Q14" i="20" s="1"/>
  <c r="L18" i="14"/>
  <c r="F13" i="16"/>
  <c r="G13" i="16" s="1"/>
  <c r="M7" i="18"/>
  <c r="H30" i="6"/>
  <c r="J7" i="18"/>
  <c r="L7" i="18"/>
  <c r="K7" i="18"/>
  <c r="I7" i="18"/>
  <c r="M11" i="18"/>
  <c r="A11" i="18"/>
  <c r="U11" i="18" s="1"/>
  <c r="K11" i="18"/>
  <c r="L11" i="18"/>
  <c r="J11" i="18"/>
  <c r="I11" i="18"/>
  <c r="S26" i="18"/>
  <c r="N17" i="6"/>
  <c r="S27" i="18"/>
  <c r="K16" i="18"/>
  <c r="L16" i="18"/>
  <c r="J16" i="18"/>
  <c r="A16" i="18"/>
  <c r="U16" i="18" s="1"/>
  <c r="I16" i="18"/>
  <c r="M16" i="18"/>
  <c r="P88" i="5"/>
  <c r="P88" i="4"/>
  <c r="P88" i="2"/>
  <c r="R103" i="20" s="1"/>
  <c r="P88" i="14"/>
  <c r="N84" i="6"/>
  <c r="K10" i="14"/>
  <c r="Y5" i="23" s="1"/>
  <c r="A3" i="18"/>
  <c r="D2" i="16"/>
  <c r="I2" i="20"/>
  <c r="K10" i="6"/>
  <c r="Q6" i="20"/>
  <c r="AD5" i="23"/>
  <c r="G6" i="16"/>
  <c r="B3" i="22"/>
  <c r="S25" i="18" l="1"/>
  <c r="S28" i="18"/>
  <c r="S29" i="18"/>
  <c r="S31" i="18"/>
  <c r="N50" i="20"/>
  <c r="F73" i="16"/>
  <c r="M62" i="18"/>
  <c r="R62" i="18"/>
  <c r="N71" i="20"/>
  <c r="O71" i="20"/>
  <c r="O100" i="20" s="1"/>
  <c r="N6" i="20"/>
  <c r="F41" i="16"/>
  <c r="U76" i="18"/>
  <c r="U75" i="18"/>
  <c r="U74" i="18"/>
  <c r="U77" i="18"/>
  <c r="U73" i="18"/>
  <c r="U72" i="18"/>
  <c r="U71" i="18"/>
  <c r="U70" i="18"/>
  <c r="F6" i="16"/>
  <c r="F57" i="16"/>
  <c r="N58" i="20"/>
  <c r="N46" i="20"/>
  <c r="F45" i="16"/>
  <c r="F47" i="16"/>
  <c r="N48" i="20"/>
  <c r="N44" i="20"/>
  <c r="F43" i="16"/>
  <c r="F51" i="16"/>
  <c r="N52" i="20"/>
  <c r="Q12" i="20"/>
  <c r="E45" i="18"/>
  <c r="E44" i="18"/>
  <c r="A11" i="9"/>
  <c r="B10" i="9"/>
  <c r="S20" i="18"/>
  <c r="S17" i="18"/>
  <c r="S18" i="18"/>
  <c r="K274" i="9"/>
  <c r="K276" i="9"/>
  <c r="K271" i="9"/>
  <c r="K277" i="9"/>
  <c r="K268" i="9"/>
  <c r="E42" i="18"/>
  <c r="E39" i="18"/>
  <c r="S30" i="18"/>
  <c r="A30" i="18" s="1"/>
  <c r="U30" i="18" s="1"/>
  <c r="A51" i="18"/>
  <c r="U51" i="18" s="1"/>
  <c r="A50" i="18"/>
  <c r="D59" i="16"/>
  <c r="H60" i="20"/>
  <c r="E59" i="16"/>
  <c r="K60" i="20"/>
  <c r="N59" i="20"/>
  <c r="Q59" i="20" s="1"/>
  <c r="F58" i="16"/>
  <c r="G58" i="16" s="1"/>
  <c r="K75" i="13"/>
  <c r="E60" i="16"/>
  <c r="K61" i="20"/>
  <c r="F88" i="16"/>
  <c r="N86" i="20"/>
  <c r="K43" i="5"/>
  <c r="E43" i="18"/>
  <c r="E37" i="18"/>
  <c r="E41" i="18"/>
  <c r="E38" i="18"/>
  <c r="K272" i="9"/>
  <c r="K287" i="9"/>
  <c r="K289" i="9"/>
  <c r="K278" i="9"/>
  <c r="L290" i="9"/>
  <c r="K279" i="9" s="1"/>
  <c r="K281" i="9"/>
  <c r="K286" i="9"/>
  <c r="K280" i="9"/>
  <c r="K270" i="9"/>
  <c r="K269" i="9"/>
  <c r="K267" i="9"/>
  <c r="E88" i="20"/>
  <c r="C90" i="16"/>
  <c r="G78" i="4"/>
  <c r="A24" i="18"/>
  <c r="U24" i="18" s="1"/>
  <c r="F10" i="16"/>
  <c r="N31" i="20"/>
  <c r="S15" i="18"/>
  <c r="N21" i="20"/>
  <c r="S19" i="18"/>
  <c r="N25" i="20"/>
  <c r="S13" i="18"/>
  <c r="A6" i="18"/>
  <c r="U22" i="18" s="1"/>
  <c r="S16" i="18"/>
  <c r="N37" i="20"/>
  <c r="F36" i="16"/>
  <c r="N30" i="6"/>
  <c r="N41" i="6" s="1"/>
  <c r="S8" i="18"/>
  <c r="F14" i="16"/>
  <c r="N15" i="20"/>
  <c r="S12" i="18"/>
  <c r="S21" i="18"/>
  <c r="N9" i="20"/>
  <c r="F8" i="16"/>
  <c r="L30" i="14"/>
  <c r="K42" i="14" s="1"/>
  <c r="K43" i="14" s="1"/>
  <c r="U67" i="18"/>
  <c r="U66" i="18"/>
  <c r="F26" i="16"/>
  <c r="N27" i="20"/>
  <c r="K39" i="20"/>
  <c r="E38" i="16"/>
  <c r="S11" i="18"/>
  <c r="S7" i="18"/>
  <c r="A7" i="18" s="1"/>
  <c r="U7" i="18" s="1"/>
  <c r="S10" i="18"/>
  <c r="F34" i="16"/>
  <c r="N35" i="20"/>
  <c r="S14" i="18"/>
  <c r="S9" i="18"/>
  <c r="A23" i="18"/>
  <c r="N17" i="20"/>
  <c r="F16" i="16"/>
  <c r="N29" i="20"/>
  <c r="F28" i="16"/>
  <c r="O38" i="20"/>
  <c r="N41" i="14"/>
  <c r="O59" i="20" s="1"/>
  <c r="R59" i="20" s="1"/>
  <c r="K30" i="6"/>
  <c r="K41" i="6" s="1"/>
  <c r="N38" i="20"/>
  <c r="Q38" i="20" s="1"/>
  <c r="F37" i="16"/>
  <c r="G37" i="16" s="1"/>
  <c r="R38" i="20" l="1"/>
  <c r="K282" i="9"/>
  <c r="K288" i="9"/>
  <c r="A12" i="9"/>
  <c r="B11" i="9"/>
  <c r="K284" i="9"/>
  <c r="K75" i="5"/>
  <c r="H61" i="20"/>
  <c r="D60" i="16"/>
  <c r="K75" i="14"/>
  <c r="F60" i="16"/>
  <c r="N61" i="20"/>
  <c r="N60" i="20"/>
  <c r="F59" i="16"/>
  <c r="G78" i="13"/>
  <c r="K88" i="20"/>
  <c r="E90" i="16"/>
  <c r="U50" i="18"/>
  <c r="U52" i="18"/>
  <c r="L302" i="9"/>
  <c r="K291" i="9" s="1"/>
  <c r="K299" i="9"/>
  <c r="K290" i="9"/>
  <c r="K285" i="9"/>
  <c r="K283" i="9"/>
  <c r="E90" i="20"/>
  <c r="C92" i="16"/>
  <c r="C36" i="18"/>
  <c r="U36" i="18" s="1"/>
  <c r="U6" i="18"/>
  <c r="F38" i="16"/>
  <c r="N39" i="20"/>
  <c r="U33" i="18"/>
  <c r="U23" i="18"/>
  <c r="B12" i="9" l="1"/>
  <c r="A13" i="9"/>
  <c r="G78" i="14"/>
  <c r="N88" i="20"/>
  <c r="F90" i="16"/>
  <c r="K90" i="20"/>
  <c r="E92" i="16"/>
  <c r="G78" i="5"/>
  <c r="D90" i="16"/>
  <c r="H88" i="20"/>
  <c r="K294" i="9"/>
  <c r="K295" i="9"/>
  <c r="K293" i="9"/>
  <c r="K298" i="9"/>
  <c r="K292" i="9"/>
  <c r="K297" i="9"/>
  <c r="K301" i="9"/>
  <c r="L314" i="9"/>
  <c r="K307" i="9" s="1"/>
  <c r="K302" i="9"/>
  <c r="K296" i="9"/>
  <c r="K300" i="9"/>
  <c r="A14" i="9" l="1"/>
  <c r="B13" i="9"/>
  <c r="K304" i="9"/>
  <c r="D92" i="16"/>
  <c r="H90" i="20"/>
  <c r="N90" i="20"/>
  <c r="F92" i="16"/>
  <c r="K311" i="9"/>
  <c r="K314" i="9"/>
  <c r="L326" i="9"/>
  <c r="K324" i="9" s="1"/>
  <c r="K308" i="9"/>
  <c r="K313" i="9"/>
  <c r="K312" i="9"/>
  <c r="K310" i="9"/>
  <c r="K306" i="9"/>
  <c r="K305" i="9"/>
  <c r="K303" i="9"/>
  <c r="K309" i="9"/>
  <c r="A15" i="9" l="1"/>
  <c r="B14" i="9"/>
  <c r="K325" i="9"/>
  <c r="K318" i="9"/>
  <c r="K322" i="9"/>
  <c r="L338" i="9"/>
  <c r="K335" i="9" s="1"/>
  <c r="K326" i="9"/>
  <c r="K333" i="9"/>
  <c r="K315" i="9"/>
  <c r="K316" i="9"/>
  <c r="K317" i="9"/>
  <c r="K320" i="9"/>
  <c r="K321" i="9"/>
  <c r="K323" i="9"/>
  <c r="K319" i="9"/>
  <c r="K336" i="9" l="1"/>
  <c r="K329" i="9"/>
  <c r="A16" i="9"/>
  <c r="B15" i="9"/>
  <c r="K330" i="9"/>
  <c r="K337" i="9"/>
  <c r="K328" i="9"/>
  <c r="K332" i="9"/>
  <c r="K338" i="9"/>
  <c r="L350" i="9"/>
  <c r="K347" i="9" s="1"/>
  <c r="K345" i="9"/>
  <c r="K341" i="9"/>
  <c r="K349" i="9"/>
  <c r="K340" i="9"/>
  <c r="K331" i="9"/>
  <c r="K334" i="9"/>
  <c r="K327" i="9"/>
  <c r="B16" i="9" l="1"/>
  <c r="A17" i="9"/>
  <c r="K344" i="9"/>
  <c r="K348" i="9"/>
  <c r="K342" i="9"/>
  <c r="K350" i="9"/>
  <c r="L362" i="9"/>
  <c r="K359" i="9" s="1"/>
  <c r="K352" i="9"/>
  <c r="K343" i="9"/>
  <c r="K339" i="9"/>
  <c r="K346" i="9"/>
  <c r="B17" i="9" l="1"/>
  <c r="A18" i="9"/>
  <c r="K353" i="9"/>
  <c r="K357" i="9"/>
  <c r="K356" i="9"/>
  <c r="K360" i="9"/>
  <c r="K358" i="9"/>
  <c r="K361" i="9"/>
  <c r="K354" i="9"/>
  <c r="K362" i="9"/>
  <c r="L374" i="9"/>
  <c r="K367" i="9" s="1"/>
  <c r="K369" i="9"/>
  <c r="K355" i="9"/>
  <c r="K351" i="9"/>
  <c r="B18" i="9" l="1"/>
  <c r="A19" i="9"/>
  <c r="K366" i="9"/>
  <c r="K372" i="9"/>
  <c r="K374" i="9"/>
  <c r="L386" i="9"/>
  <c r="K377" i="9" s="1"/>
  <c r="K382" i="9"/>
  <c r="K379" i="9"/>
  <c r="K365" i="9"/>
  <c r="K371" i="9"/>
  <c r="K363" i="9"/>
  <c r="K373" i="9"/>
  <c r="K364" i="9"/>
  <c r="K370" i="9"/>
  <c r="K368" i="9"/>
  <c r="B19" i="9" l="1"/>
  <c r="A20" i="9"/>
  <c r="K381" i="9"/>
  <c r="K384" i="9"/>
  <c r="K383" i="9"/>
  <c r="K380" i="9"/>
  <c r="K375" i="9"/>
  <c r="K376" i="9"/>
  <c r="K386" i="9"/>
  <c r="L398" i="9"/>
  <c r="K393" i="9" s="1"/>
  <c r="K378" i="9"/>
  <c r="K385" i="9"/>
  <c r="A21" i="9" l="1"/>
  <c r="B20" i="9"/>
  <c r="K392" i="9"/>
  <c r="K390" i="9"/>
  <c r="K395" i="9"/>
  <c r="K397" i="9"/>
  <c r="K389" i="9"/>
  <c r="K391" i="9"/>
  <c r="K394" i="9"/>
  <c r="L410" i="9"/>
  <c r="K404" i="9" s="1"/>
  <c r="K398" i="9"/>
  <c r="K387" i="9"/>
  <c r="K396" i="9"/>
  <c r="K388" i="9"/>
  <c r="A22" i="9" l="1"/>
  <c r="B21" i="9"/>
  <c r="K406" i="9"/>
  <c r="K408" i="9"/>
  <c r="K407" i="9"/>
  <c r="K401" i="9"/>
  <c r="K403" i="9"/>
  <c r="K402" i="9"/>
  <c r="K399" i="9"/>
  <c r="K405" i="9"/>
  <c r="L422" i="9"/>
  <c r="K415" i="9" s="1"/>
  <c r="K410" i="9"/>
  <c r="K413" i="9"/>
  <c r="K418" i="9"/>
  <c r="K409" i="9"/>
  <c r="K400" i="9"/>
  <c r="K416" i="9" l="1"/>
  <c r="K419" i="9"/>
  <c r="K412" i="9"/>
  <c r="K421" i="9"/>
  <c r="K411" i="9"/>
  <c r="A23" i="9"/>
  <c r="B22" i="9"/>
  <c r="K420" i="9"/>
  <c r="K414" i="9"/>
  <c r="K417" i="9"/>
  <c r="K422" i="9"/>
  <c r="L434" i="9"/>
  <c r="K430" i="9" s="1"/>
  <c r="K431" i="9"/>
  <c r="K429" i="9"/>
  <c r="A24" i="9" l="1"/>
  <c r="B23" i="9"/>
  <c r="K427" i="9"/>
  <c r="K424" i="9"/>
  <c r="K423" i="9"/>
  <c r="K426" i="9"/>
  <c r="K425" i="9"/>
  <c r="K428" i="9"/>
  <c r="L446" i="9"/>
  <c r="K444" i="9" s="1"/>
  <c r="K434" i="9"/>
  <c r="K432" i="9"/>
  <c r="K433" i="9"/>
  <c r="B24" i="9" l="1"/>
  <c r="A25" i="9"/>
  <c r="K437" i="9"/>
  <c r="K443" i="9"/>
  <c r="K439" i="9"/>
  <c r="K441" i="9"/>
  <c r="K442" i="9"/>
  <c r="K436" i="9"/>
  <c r="K438" i="9"/>
  <c r="K445" i="9"/>
  <c r="L458" i="9"/>
  <c r="K446" i="9"/>
  <c r="K449" i="9"/>
  <c r="K457" i="9"/>
  <c r="K447" i="9"/>
  <c r="K452" i="9"/>
  <c r="K451" i="9"/>
  <c r="K456" i="9"/>
  <c r="K453" i="9"/>
  <c r="K450" i="9"/>
  <c r="K448" i="9"/>
  <c r="K454" i="9"/>
  <c r="K440" i="9"/>
  <c r="K435" i="9"/>
  <c r="B25" i="9" l="1"/>
  <c r="A26" i="9"/>
  <c r="K455" i="9"/>
  <c r="L470" i="9"/>
  <c r="K469" i="9" s="1"/>
  <c r="K466" i="9"/>
  <c r="K458" i="9"/>
  <c r="K464" i="9" l="1"/>
  <c r="K460" i="9"/>
  <c r="K461" i="9"/>
  <c r="K468" i="9"/>
  <c r="K463" i="9"/>
  <c r="K465" i="9"/>
  <c r="K462" i="9"/>
  <c r="B26" i="9"/>
  <c r="A27" i="9"/>
  <c r="K459" i="9"/>
  <c r="K470" i="9"/>
  <c r="L482" i="9"/>
  <c r="K472" i="9" s="1"/>
  <c r="K481" i="9"/>
  <c r="K478" i="9"/>
  <c r="K474" i="9"/>
  <c r="K479" i="9"/>
  <c r="K467" i="9"/>
  <c r="K473" i="9" l="1"/>
  <c r="K476" i="9"/>
  <c r="K477" i="9"/>
  <c r="K471" i="9"/>
  <c r="A28" i="9"/>
  <c r="B27" i="9"/>
  <c r="K475" i="9"/>
  <c r="K482" i="9"/>
  <c r="L494" i="9"/>
  <c r="K490" i="9" s="1"/>
  <c r="K480" i="9"/>
  <c r="A29" i="9" l="1"/>
  <c r="B28" i="9"/>
  <c r="K485" i="9"/>
  <c r="K491" i="9"/>
  <c r="K493" i="9"/>
  <c r="K484" i="9"/>
  <c r="K488" i="9"/>
  <c r="K489" i="9"/>
  <c r="K486" i="9"/>
  <c r="K487" i="9"/>
  <c r="K494" i="9"/>
  <c r="L506" i="9"/>
  <c r="K498" i="9" s="1"/>
  <c r="K483" i="9"/>
  <c r="K492" i="9"/>
  <c r="B29" i="9" l="1"/>
  <c r="A30" i="9"/>
  <c r="K503" i="9"/>
  <c r="K504" i="9"/>
  <c r="K500" i="9"/>
  <c r="L518" i="9"/>
  <c r="K507" i="9" s="1"/>
  <c r="K506" i="9"/>
  <c r="K508" i="9"/>
  <c r="K502" i="9"/>
  <c r="K496" i="9"/>
  <c r="K499" i="9"/>
  <c r="K505" i="9"/>
  <c r="K501" i="9"/>
  <c r="K495" i="9"/>
  <c r="K497" i="9"/>
  <c r="K514" i="9" l="1"/>
  <c r="K510" i="9"/>
  <c r="K515" i="9"/>
  <c r="B30" i="9"/>
  <c r="A31" i="9"/>
  <c r="K511" i="9"/>
  <c r="K509" i="9"/>
  <c r="K517" i="9"/>
  <c r="K516" i="9"/>
  <c r="K513" i="9"/>
  <c r="K512" i="9"/>
  <c r="K518" i="9"/>
  <c r="L530" i="9"/>
  <c r="K526" i="9" s="1"/>
  <c r="B31" i="9" l="1"/>
  <c r="A32" i="9"/>
  <c r="K520" i="9"/>
  <c r="K519" i="9"/>
  <c r="L542" i="9"/>
  <c r="K541" i="9" s="1"/>
  <c r="K530" i="9"/>
  <c r="K531" i="9"/>
  <c r="K534" i="9"/>
  <c r="K525" i="9"/>
  <c r="K524" i="9"/>
  <c r="K527" i="9"/>
  <c r="K528" i="9"/>
  <c r="K523" i="9"/>
  <c r="K522" i="9"/>
  <c r="K521" i="9"/>
  <c r="K529" i="9"/>
  <c r="B32" i="9" l="1"/>
  <c r="A33" i="9"/>
  <c r="L554" i="9"/>
  <c r="K544" i="9" s="1"/>
  <c r="K542" i="9"/>
  <c r="K539" i="9"/>
  <c r="K537" i="9"/>
  <c r="K533" i="9"/>
  <c r="K532" i="9"/>
  <c r="K535" i="9"/>
  <c r="K540" i="9"/>
  <c r="K536" i="9"/>
  <c r="K538" i="9"/>
  <c r="K546" i="9" l="1"/>
  <c r="K545" i="9"/>
  <c r="B33" i="9"/>
  <c r="A34" i="9"/>
  <c r="K551" i="9"/>
  <c r="K549" i="9"/>
  <c r="K543" i="9"/>
  <c r="L566" i="9"/>
  <c r="K558" i="9" s="1"/>
  <c r="K554" i="9"/>
  <c r="K547" i="9"/>
  <c r="K548" i="9"/>
  <c r="K552" i="9"/>
  <c r="K553" i="9"/>
  <c r="K550" i="9"/>
  <c r="B34" i="9" l="1"/>
  <c r="A35" i="9"/>
  <c r="K562" i="9"/>
  <c r="K556" i="9"/>
  <c r="K566" i="9"/>
  <c r="L578" i="9"/>
  <c r="K573" i="9" s="1"/>
  <c r="K571" i="9"/>
  <c r="K569" i="9"/>
  <c r="K555" i="9"/>
  <c r="K561" i="9"/>
  <c r="K565" i="9"/>
  <c r="K559" i="9"/>
  <c r="K564" i="9"/>
  <c r="K560" i="9"/>
  <c r="K557" i="9"/>
  <c r="K563" i="9"/>
  <c r="A36" i="9" l="1"/>
  <c r="B35" i="9"/>
  <c r="K567" i="9"/>
  <c r="K574" i="9"/>
  <c r="K576" i="9"/>
  <c r="K570" i="9"/>
  <c r="K568" i="9"/>
  <c r="K577" i="9"/>
  <c r="K572" i="9"/>
  <c r="K578" i="9"/>
  <c r="L590" i="9"/>
  <c r="K587" i="9" s="1"/>
  <c r="K575" i="9"/>
  <c r="B36" i="9" l="1"/>
  <c r="A37" i="9"/>
  <c r="K585" i="9"/>
  <c r="K588" i="9"/>
  <c r="K580" i="9"/>
  <c r="K589" i="9"/>
  <c r="K583" i="9"/>
  <c r="K586" i="9"/>
  <c r="K582" i="9"/>
  <c r="L602" i="9"/>
  <c r="K599" i="9" s="1"/>
  <c r="K590" i="9"/>
  <c r="K579" i="9"/>
  <c r="K584" i="9"/>
  <c r="K581" i="9"/>
  <c r="B37" i="9" l="1"/>
  <c r="A38" i="9"/>
  <c r="K594" i="9"/>
  <c r="K591" i="9"/>
  <c r="K592" i="9"/>
  <c r="K593" i="9"/>
  <c r="K597" i="9"/>
  <c r="K601" i="9"/>
  <c r="K598" i="9"/>
  <c r="K600" i="9"/>
  <c r="K596" i="9"/>
  <c r="K595" i="9"/>
  <c r="L614" i="9"/>
  <c r="K613" i="9" s="1"/>
  <c r="K602" i="9"/>
  <c r="K605" i="9"/>
  <c r="K610" i="9"/>
  <c r="K608" i="9"/>
  <c r="B38" i="9" l="1"/>
  <c r="A39" i="9"/>
  <c r="K611" i="9"/>
  <c r="K609" i="9"/>
  <c r="K614" i="9"/>
  <c r="L626" i="9"/>
  <c r="K619" i="9" s="1"/>
  <c r="K625" i="9"/>
  <c r="K615" i="9"/>
  <c r="K606" i="9"/>
  <c r="K612" i="9"/>
  <c r="K607" i="9"/>
  <c r="K603" i="9"/>
  <c r="K604" i="9"/>
  <c r="B39" i="9" l="1"/>
  <c r="A40" i="9"/>
  <c r="K616" i="9"/>
  <c r="K624" i="9"/>
  <c r="K617" i="9"/>
  <c r="K622" i="9"/>
  <c r="K618" i="9"/>
  <c r="K621" i="9"/>
  <c r="L638" i="9"/>
  <c r="K630" i="9" s="1"/>
  <c r="K628" i="9"/>
  <c r="K626" i="9"/>
  <c r="K620" i="9"/>
  <c r="K623" i="9"/>
  <c r="A41" i="9" l="1"/>
  <c r="B40" i="9"/>
  <c r="K635" i="9"/>
  <c r="K634" i="9"/>
  <c r="K629" i="9"/>
  <c r="K636" i="9"/>
  <c r="K633" i="9"/>
  <c r="K637" i="9"/>
  <c r="K632" i="9"/>
  <c r="K631" i="9"/>
  <c r="K627" i="9"/>
  <c r="K638" i="9"/>
  <c r="L650" i="9"/>
  <c r="K647" i="9" s="1"/>
  <c r="K642" i="9"/>
  <c r="K649" i="9"/>
  <c r="K641" i="9"/>
  <c r="K640" i="9" l="1"/>
  <c r="A42" i="9"/>
  <c r="B41" i="9"/>
  <c r="K644" i="9"/>
  <c r="K643" i="9"/>
  <c r="K648" i="9"/>
  <c r="K645" i="9"/>
  <c r="K650" i="9"/>
  <c r="L662" i="9"/>
  <c r="K656" i="9" s="1"/>
  <c r="K646" i="9"/>
  <c r="K639" i="9"/>
  <c r="B42" i="9" l="1"/>
  <c r="A43" i="9"/>
  <c r="K652" i="9"/>
  <c r="K657" i="9"/>
  <c r="K660" i="9"/>
  <c r="K659" i="9"/>
  <c r="K654" i="9"/>
  <c r="K653" i="9"/>
  <c r="K658" i="9"/>
  <c r="K651" i="9"/>
  <c r="K662" i="9"/>
  <c r="L674" i="9"/>
  <c r="K667" i="9" s="1"/>
  <c r="K666" i="9"/>
  <c r="K668" i="9"/>
  <c r="K655" i="9"/>
  <c r="K661" i="9"/>
  <c r="K670" i="9" l="1"/>
  <c r="K671" i="9"/>
  <c r="A44" i="9"/>
  <c r="B43" i="9"/>
  <c r="K663" i="9"/>
  <c r="K673" i="9"/>
  <c r="K672" i="9"/>
  <c r="K674" i="9"/>
  <c r="L686" i="9"/>
  <c r="K683" i="9" s="1"/>
  <c r="K677" i="9"/>
  <c r="K664" i="9"/>
  <c r="K665" i="9"/>
  <c r="K669" i="9"/>
  <c r="K679" i="9" l="1"/>
  <c r="K682" i="9"/>
  <c r="K681" i="9"/>
  <c r="K676" i="9"/>
  <c r="A45" i="9"/>
  <c r="B44" i="9"/>
  <c r="K685" i="9"/>
  <c r="K675" i="9"/>
  <c r="L698" i="9"/>
  <c r="K691" i="9" s="1"/>
  <c r="K687" i="9"/>
  <c r="K689" i="9"/>
  <c r="K688" i="9"/>
  <c r="K692" i="9"/>
  <c r="K686" i="9"/>
  <c r="K696" i="9"/>
  <c r="K697" i="9"/>
  <c r="K694" i="9"/>
  <c r="K680" i="9"/>
  <c r="K684" i="9"/>
  <c r="K678" i="9"/>
  <c r="B45" i="9" l="1"/>
  <c r="A46" i="9"/>
  <c r="K693" i="9"/>
  <c r="K695" i="9"/>
  <c r="L710" i="9"/>
  <c r="K707" i="9" s="1"/>
  <c r="K698" i="9"/>
  <c r="K690" i="9"/>
  <c r="A47" i="9" l="1"/>
  <c r="B46" i="9"/>
  <c r="K709" i="9"/>
  <c r="K702" i="9"/>
  <c r="K703" i="9"/>
  <c r="K700" i="9"/>
  <c r="K706" i="9"/>
  <c r="K701" i="9"/>
  <c r="K705" i="9"/>
  <c r="K704" i="9"/>
  <c r="K708" i="9"/>
  <c r="L722" i="9"/>
  <c r="K715" i="9" s="1"/>
  <c r="K710" i="9"/>
  <c r="K716" i="9"/>
  <c r="K699" i="9"/>
  <c r="K719" i="9" l="1"/>
  <c r="K718" i="9"/>
  <c r="K713" i="9"/>
  <c r="K712" i="9"/>
  <c r="K720" i="9"/>
  <c r="K721" i="9"/>
  <c r="K717" i="9"/>
  <c r="K714" i="9"/>
  <c r="A48" i="9"/>
  <c r="B47" i="9"/>
  <c r="K722" i="9"/>
  <c r="L734" i="9"/>
  <c r="K730" i="9" s="1"/>
  <c r="K723" i="9"/>
  <c r="K711" i="9"/>
  <c r="K733" i="9" l="1"/>
  <c r="K731" i="9"/>
  <c r="K732" i="9"/>
  <c r="K725" i="9"/>
  <c r="K729" i="9"/>
  <c r="K724" i="9"/>
  <c r="K727" i="9"/>
  <c r="K728" i="9"/>
  <c r="A49" i="9"/>
  <c r="B48" i="9"/>
  <c r="K726" i="9"/>
  <c r="L746" i="9"/>
  <c r="K745" i="9" s="1"/>
  <c r="K734" i="9"/>
  <c r="K743" i="9" l="1"/>
  <c r="K739" i="9"/>
  <c r="K742" i="9"/>
  <c r="K738" i="9"/>
  <c r="K735" i="9"/>
  <c r="K741" i="9"/>
  <c r="K736" i="9"/>
  <c r="K740" i="9"/>
  <c r="K737" i="9"/>
  <c r="A50" i="9"/>
  <c r="B49" i="9"/>
  <c r="K744" i="9"/>
  <c r="K746" i="9"/>
  <c r="L758" i="9"/>
  <c r="B50" i="9" l="1"/>
  <c r="A51" i="9"/>
  <c r="K757" i="9"/>
  <c r="K758" i="9"/>
  <c r="L770" i="9"/>
  <c r="K763" i="9" s="1"/>
  <c r="K751" i="9"/>
  <c r="K747" i="9"/>
  <c r="K750" i="9"/>
  <c r="K752" i="9"/>
  <c r="K753" i="9"/>
  <c r="K749" i="9"/>
  <c r="K748" i="9"/>
  <c r="K755" i="9"/>
  <c r="K756" i="9"/>
  <c r="K754" i="9"/>
  <c r="A52" i="9" l="1"/>
  <c r="B51" i="9"/>
  <c r="K760" i="9"/>
  <c r="K769" i="9"/>
  <c r="K766" i="9"/>
  <c r="K761" i="9"/>
  <c r="K762" i="9"/>
  <c r="K767" i="9"/>
  <c r="K759" i="9"/>
  <c r="K764" i="9"/>
  <c r="K768" i="9"/>
  <c r="K765" i="9"/>
  <c r="K770" i="9"/>
  <c r="L782" i="9"/>
  <c r="K774" i="9" s="1"/>
  <c r="K775" i="9" l="1"/>
  <c r="A53" i="9"/>
  <c r="B52" i="9"/>
  <c r="K773" i="9"/>
  <c r="K780" i="9"/>
  <c r="K781" i="9"/>
  <c r="K772" i="9"/>
  <c r="K779" i="9"/>
  <c r="K771" i="9"/>
  <c r="K776" i="9"/>
  <c r="K777" i="9"/>
  <c r="L794" i="9"/>
  <c r="K786" i="9" s="1"/>
  <c r="K782" i="9"/>
  <c r="K778" i="9"/>
  <c r="K788" i="9" l="1"/>
  <c r="K791" i="9"/>
  <c r="B53" i="9"/>
  <c r="A54" i="9"/>
  <c r="K787" i="9"/>
  <c r="K790" i="9"/>
  <c r="K792" i="9"/>
  <c r="K785" i="9"/>
  <c r="K789" i="9"/>
  <c r="L806" i="9"/>
  <c r="K796" i="9" s="1"/>
  <c r="K797" i="9"/>
  <c r="K794" i="9"/>
  <c r="K802" i="9"/>
  <c r="K803" i="9"/>
  <c r="K783" i="9"/>
  <c r="K784" i="9"/>
  <c r="K793" i="9"/>
  <c r="A55" i="9" l="1"/>
  <c r="B54" i="9"/>
  <c r="K804" i="9"/>
  <c r="K805" i="9"/>
  <c r="K800" i="9"/>
  <c r="K799" i="9"/>
  <c r="K798" i="9"/>
  <c r="K795" i="9"/>
  <c r="K801" i="9"/>
  <c r="A56" i="9" l="1"/>
  <c r="B55" i="9"/>
  <c r="A57" i="9" l="1"/>
  <c r="B56" i="9"/>
  <c r="B57" i="9" l="1"/>
  <c r="A58" i="9"/>
  <c r="A59" i="9" l="1"/>
  <c r="B58" i="9"/>
  <c r="A60" i="9" l="1"/>
  <c r="B59" i="9"/>
  <c r="B60" i="9" l="1"/>
  <c r="A61" i="9"/>
  <c r="B61" i="9" l="1"/>
  <c r="A62" i="9"/>
  <c r="B62" i="9" l="1"/>
  <c r="A63" i="9"/>
  <c r="A64" i="9" l="1"/>
  <c r="B63" i="9"/>
  <c r="B64" i="9" l="1"/>
  <c r="A65" i="9"/>
  <c r="B65" i="9" l="1"/>
  <c r="A66" i="9"/>
  <c r="A67" i="9" l="1"/>
  <c r="B66" i="9"/>
  <c r="B67" i="9" l="1"/>
  <c r="A68" i="9"/>
  <c r="B68" i="9" l="1"/>
  <c r="A69" i="9"/>
  <c r="B69" i="9" l="1"/>
  <c r="A70" i="9"/>
  <c r="B70" i="9" l="1"/>
  <c r="A71" i="9"/>
  <c r="B71" i="9" l="1"/>
  <c r="A72" i="9"/>
  <c r="A73" i="9" l="1"/>
  <c r="B72" i="9"/>
  <c r="B73" i="9" l="1"/>
  <c r="A74" i="9"/>
  <c r="B74" i="9" l="1"/>
  <c r="A75" i="9"/>
  <c r="B75" i="9" l="1"/>
  <c r="A76" i="9"/>
  <c r="A77" i="9" l="1"/>
  <c r="B76" i="9"/>
  <c r="B77" i="9" l="1"/>
  <c r="A78" i="9"/>
  <c r="B78" i="9" l="1"/>
  <c r="A79" i="9"/>
  <c r="B79" i="9" l="1"/>
  <c r="A80" i="9"/>
  <c r="B80" i="9" l="1"/>
  <c r="A81" i="9"/>
  <c r="B81" i="9" l="1"/>
  <c r="A82" i="9"/>
  <c r="A83" i="9" l="1"/>
  <c r="B82" i="9"/>
  <c r="B83" i="9" l="1"/>
  <c r="A84" i="9"/>
  <c r="A85" i="9" l="1"/>
  <c r="B84" i="9"/>
  <c r="B85" i="9" l="1"/>
  <c r="A86" i="9"/>
  <c r="B86" i="9" l="1"/>
  <c r="A87" i="9"/>
  <c r="B87" i="9" l="1"/>
  <c r="A88" i="9"/>
  <c r="A89" i="9" l="1"/>
  <c r="B88" i="9"/>
  <c r="A90" i="9" l="1"/>
  <c r="B89" i="9"/>
  <c r="B90" i="9" l="1"/>
  <c r="A91" i="9"/>
  <c r="A92" i="9" l="1"/>
  <c r="B91" i="9"/>
  <c r="B92" i="9" l="1"/>
  <c r="A93" i="9"/>
  <c r="B93" i="9" l="1"/>
  <c r="A94" i="9"/>
  <c r="A95" i="9" l="1"/>
  <c r="B94" i="9"/>
  <c r="B95" i="9" l="1"/>
  <c r="A96" i="9"/>
  <c r="B96" i="9" l="1"/>
  <c r="A97" i="9"/>
  <c r="A98" i="9" l="1"/>
  <c r="B97" i="9"/>
  <c r="B98" i="9" l="1"/>
  <c r="A99" i="9"/>
  <c r="A100" i="9" l="1"/>
  <c r="B99" i="9"/>
  <c r="B100" i="9" l="1"/>
  <c r="A101" i="9"/>
  <c r="A102" i="9" l="1"/>
  <c r="B101" i="9"/>
  <c r="A103" i="9" l="1"/>
  <c r="B102" i="9"/>
  <c r="A104" i="9" l="1"/>
  <c r="B103" i="9"/>
  <c r="B104" i="9" l="1"/>
  <c r="A105" i="9"/>
  <c r="A106" i="9" l="1"/>
  <c r="B105" i="9"/>
  <c r="B106" i="9" l="1"/>
  <c r="A107" i="9"/>
  <c r="B107" i="9" l="1"/>
  <c r="A108" i="9"/>
  <c r="A109" i="9" l="1"/>
  <c r="B108" i="9"/>
  <c r="A110" i="9" l="1"/>
  <c r="B109" i="9"/>
  <c r="B110" i="9" l="1"/>
  <c r="A111" i="9"/>
  <c r="B111" i="9" l="1"/>
  <c r="A112" i="9"/>
  <c r="A113" i="9" l="1"/>
  <c r="B112" i="9"/>
  <c r="A114" i="9" l="1"/>
  <c r="B113" i="9"/>
  <c r="B114" i="9" l="1"/>
  <c r="A115" i="9"/>
  <c r="A116" i="9" l="1"/>
  <c r="B115" i="9"/>
  <c r="B116" i="9" l="1"/>
  <c r="A117" i="9"/>
  <c r="B117" i="9" l="1"/>
  <c r="A118" i="9"/>
  <c r="B118" i="9" l="1"/>
  <c r="A119" i="9"/>
  <c r="B119" i="9" l="1"/>
  <c r="A120" i="9"/>
  <c r="A121" i="9" l="1"/>
  <c r="B120" i="9"/>
  <c r="A122" i="9" l="1"/>
  <c r="B121" i="9"/>
  <c r="B122" i="9" l="1"/>
  <c r="A123" i="9"/>
  <c r="B123" i="9" l="1"/>
  <c r="A124" i="9"/>
  <c r="A125" i="9" l="1"/>
  <c r="B124" i="9"/>
  <c r="B125" i="9" l="1"/>
  <c r="A126" i="9"/>
  <c r="A127" i="9" l="1"/>
  <c r="B126" i="9"/>
  <c r="A128" i="9" l="1"/>
  <c r="B127" i="9"/>
  <c r="A129" i="9" l="1"/>
  <c r="B128" i="9"/>
  <c r="A130" i="9" l="1"/>
  <c r="B129" i="9"/>
  <c r="A131" i="9" l="1"/>
  <c r="B130" i="9"/>
  <c r="A132" i="9" l="1"/>
  <c r="B131" i="9"/>
  <c r="B132" i="9" l="1"/>
  <c r="A133" i="9"/>
  <c r="A134" i="9" l="1"/>
  <c r="B133" i="9"/>
  <c r="A135" i="9" l="1"/>
  <c r="B134" i="9"/>
  <c r="B135" i="9" l="1"/>
  <c r="A136" i="9"/>
  <c r="B136" i="9" l="1"/>
  <c r="A137" i="9"/>
  <c r="A138" i="9" l="1"/>
  <c r="B137" i="9"/>
  <c r="A139" i="9" l="1"/>
  <c r="B138" i="9"/>
  <c r="B139" i="9" l="1"/>
  <c r="A140" i="9"/>
  <c r="A141" i="9" l="1"/>
  <c r="B140" i="9"/>
  <c r="B141" i="9" l="1"/>
  <c r="A142" i="9"/>
  <c r="B142" i="9" l="1"/>
  <c r="A143" i="9"/>
  <c r="A144" i="9" l="1"/>
  <c r="B143" i="9"/>
  <c r="A145" i="9" l="1"/>
  <c r="B144" i="9"/>
  <c r="B145" i="9" l="1"/>
  <c r="A146" i="9"/>
  <c r="B146" i="9" l="1"/>
  <c r="A147" i="9"/>
  <c r="B147" i="9" l="1"/>
  <c r="A148" i="9"/>
  <c r="B148" i="9" l="1"/>
  <c r="A149" i="9"/>
  <c r="A150" i="9" l="1"/>
  <c r="B149" i="9"/>
  <c r="A151" i="9" l="1"/>
  <c r="B150" i="9"/>
  <c r="B151" i="9" l="1"/>
  <c r="A152" i="9"/>
  <c r="A153" i="9" l="1"/>
  <c r="B152" i="9"/>
  <c r="B153" i="9" l="1"/>
  <c r="A154" i="9"/>
  <c r="B154" i="9" l="1"/>
  <c r="A155" i="9"/>
  <c r="A156" i="9" l="1"/>
  <c r="B155" i="9"/>
  <c r="B156" i="9" l="1"/>
  <c r="A157" i="9"/>
  <c r="A158" i="9" l="1"/>
  <c r="B157" i="9"/>
  <c r="B158" i="9" l="1"/>
  <c r="A159" i="9"/>
  <c r="A160" i="9" l="1"/>
  <c r="B159" i="9"/>
  <c r="A161" i="9" l="1"/>
  <c r="B160" i="9"/>
  <c r="A162" i="9" l="1"/>
  <c r="B161" i="9"/>
  <c r="B162" i="9" l="1"/>
  <c r="A163" i="9"/>
  <c r="B163" i="9" l="1"/>
  <c r="A164" i="9"/>
  <c r="A165" i="9" l="1"/>
  <c r="B164" i="9"/>
  <c r="B165" i="9" l="1"/>
  <c r="A166" i="9"/>
  <c r="A167" i="9" l="1"/>
  <c r="B166" i="9"/>
  <c r="B167" i="9" l="1"/>
  <c r="A168" i="9"/>
  <c r="B168" i="9" l="1"/>
  <c r="A169" i="9"/>
  <c r="B169" i="9" l="1"/>
  <c r="A170" i="9"/>
  <c r="B170" i="9" l="1"/>
  <c r="A171" i="9"/>
  <c r="A172" i="9" l="1"/>
  <c r="B171" i="9"/>
  <c r="B172" i="9" l="1"/>
  <c r="A173" i="9"/>
  <c r="B173" i="9" l="1"/>
  <c r="A174" i="9"/>
  <c r="A175" i="9" l="1"/>
  <c r="B174" i="9"/>
  <c r="B175" i="9" l="1"/>
  <c r="A176" i="9"/>
  <c r="B176" i="9" l="1"/>
  <c r="A177" i="9"/>
  <c r="A178" i="9" l="1"/>
  <c r="B177" i="9"/>
  <c r="B178" i="9" l="1"/>
  <c r="A179" i="9"/>
  <c r="A180" i="9" l="1"/>
  <c r="B179" i="9"/>
  <c r="B180" i="9" l="1"/>
  <c r="A181" i="9"/>
  <c r="A182" i="9" l="1"/>
  <c r="B181" i="9"/>
  <c r="B182" i="9" l="1"/>
  <c r="A183" i="9"/>
  <c r="A184" i="9" l="1"/>
  <c r="B183" i="9"/>
  <c r="B184" i="9" l="1"/>
  <c r="A185" i="9"/>
  <c r="A186" i="9" l="1"/>
  <c r="B185" i="9"/>
  <c r="A187" i="9" l="1"/>
  <c r="B186" i="9"/>
  <c r="A188" i="9" l="1"/>
  <c r="B187" i="9"/>
  <c r="A189" i="9" l="1"/>
  <c r="B188" i="9"/>
  <c r="B189" i="9" l="1"/>
  <c r="A190" i="9"/>
  <c r="B190" i="9" l="1"/>
  <c r="A191" i="9"/>
  <c r="A192" i="9" l="1"/>
  <c r="B191" i="9"/>
  <c r="A193" i="9" l="1"/>
  <c r="B192" i="9"/>
  <c r="A194" i="9" l="1"/>
  <c r="B193" i="9"/>
  <c r="B194" i="9" l="1"/>
  <c r="A195" i="9"/>
  <c r="B195" i="9" l="1"/>
  <c r="A196" i="9"/>
  <c r="A197" i="9" l="1"/>
  <c r="B196" i="9"/>
  <c r="A198" i="9" l="1"/>
  <c r="B197" i="9"/>
  <c r="A199" i="9" l="1"/>
  <c r="B198" i="9"/>
  <c r="A200" i="9" l="1"/>
  <c r="B199" i="9"/>
  <c r="A201" i="9" l="1"/>
  <c r="B200" i="9"/>
  <c r="A202" i="9" l="1"/>
  <c r="B201" i="9"/>
  <c r="B202" i="9" l="1"/>
  <c r="A203" i="9"/>
  <c r="A204" i="9" l="1"/>
  <c r="B203" i="9"/>
  <c r="B204" i="9" l="1"/>
  <c r="A205" i="9"/>
  <c r="A206" i="9" l="1"/>
  <c r="B205" i="9"/>
  <c r="A207" i="9" l="1"/>
  <c r="B206" i="9"/>
  <c r="B207" i="9" l="1"/>
  <c r="A208" i="9"/>
  <c r="A209" i="9" l="1"/>
  <c r="B208" i="9"/>
  <c r="A210" i="9" l="1"/>
  <c r="B209" i="9"/>
  <c r="A211" i="9" l="1"/>
  <c r="B210" i="9"/>
  <c r="B211" i="9" l="1"/>
  <c r="A212" i="9"/>
  <c r="B212" i="9" l="1"/>
  <c r="A213" i="9"/>
  <c r="B213" i="9" l="1"/>
  <c r="A214" i="9"/>
  <c r="A215" i="9" l="1"/>
  <c r="B214" i="9"/>
  <c r="B215" i="9" l="1"/>
  <c r="A216" i="9"/>
  <c r="B216" i="9" l="1"/>
  <c r="A217" i="9"/>
  <c r="A218" i="9" l="1"/>
  <c r="B217" i="9"/>
  <c r="B218" i="9" l="1"/>
  <c r="A219" i="9"/>
  <c r="B219" i="9" l="1"/>
  <c r="A220" i="9"/>
  <c r="A221" i="9" l="1"/>
  <c r="B220" i="9"/>
  <c r="B221" i="9" l="1"/>
  <c r="A222" i="9"/>
  <c r="B222" i="9" l="1"/>
  <c r="A223" i="9"/>
  <c r="B223" i="9" l="1"/>
  <c r="A224" i="9"/>
  <c r="B224" i="9" l="1"/>
  <c r="A225" i="9"/>
  <c r="B225" i="9" l="1"/>
  <c r="A226" i="9"/>
  <c r="A227" i="9" l="1"/>
  <c r="B226" i="9"/>
  <c r="B227" i="9" l="1"/>
  <c r="A228" i="9"/>
  <c r="B228" i="9" l="1"/>
  <c r="A229" i="9"/>
  <c r="A230" i="9" l="1"/>
  <c r="B229" i="9"/>
  <c r="A231" i="9" l="1"/>
  <c r="B230" i="9"/>
  <c r="B231" i="9" l="1"/>
  <c r="A232" i="9"/>
  <c r="B232" i="9" l="1"/>
  <c r="A233" i="9"/>
  <c r="B233" i="9" l="1"/>
  <c r="A234" i="9"/>
  <c r="A235" i="9" l="1"/>
  <c r="B234" i="9"/>
  <c r="A236" i="9" l="1"/>
  <c r="B235" i="9"/>
  <c r="B236" i="9" l="1"/>
  <c r="A237" i="9"/>
  <c r="A238" i="9" l="1"/>
  <c r="B237" i="9"/>
  <c r="A239" i="9" l="1"/>
  <c r="B238" i="9"/>
  <c r="B239" i="9" l="1"/>
  <c r="A240" i="9"/>
  <c r="B240" i="9" l="1"/>
  <c r="A241" i="9"/>
  <c r="A242" i="9" l="1"/>
  <c r="B241" i="9"/>
  <c r="B242" i="9" l="1"/>
  <c r="A243" i="9"/>
  <c r="B243" i="9" l="1"/>
  <c r="A244" i="9"/>
  <c r="B244" i="9" l="1"/>
  <c r="A245" i="9"/>
  <c r="A246" i="9" l="1"/>
  <c r="B245" i="9"/>
  <c r="A247" i="9" l="1"/>
  <c r="B246" i="9"/>
  <c r="A248" i="9" l="1"/>
  <c r="B247" i="9"/>
  <c r="B248" i="9" l="1"/>
  <c r="A249" i="9"/>
  <c r="A250" i="9" l="1"/>
  <c r="B249" i="9"/>
  <c r="B250" i="9" l="1"/>
  <c r="A251" i="9"/>
  <c r="B251" i="9" l="1"/>
  <c r="A252" i="9"/>
  <c r="B252" i="9" l="1"/>
  <c r="A253" i="9"/>
  <c r="A254" i="9" l="1"/>
  <c r="B253" i="9"/>
  <c r="A255" i="9" l="1"/>
  <c r="B254" i="9"/>
  <c r="A256" i="9" l="1"/>
  <c r="B255" i="9"/>
  <c r="B256" i="9" l="1"/>
  <c r="A257" i="9"/>
  <c r="A258" i="9" l="1"/>
  <c r="B257" i="9"/>
  <c r="B258" i="9" l="1"/>
  <c r="A259" i="9"/>
  <c r="B259" i="9" l="1"/>
  <c r="A260" i="9"/>
  <c r="B260" i="9" l="1"/>
  <c r="A261" i="9"/>
  <c r="A262" i="9" l="1"/>
  <c r="B261" i="9"/>
  <c r="B262" i="9" l="1"/>
  <c r="A263" i="9"/>
  <c r="B263" i="9" l="1"/>
  <c r="A264" i="9"/>
  <c r="B264" i="9" l="1"/>
  <c r="A265" i="9"/>
  <c r="A266" i="9" l="1"/>
  <c r="B265" i="9"/>
  <c r="A267" i="9" l="1"/>
  <c r="B266" i="9"/>
  <c r="A268" i="9" l="1"/>
  <c r="B267" i="9"/>
  <c r="A269" i="9" l="1"/>
  <c r="B268" i="9"/>
  <c r="A270" i="9" l="1"/>
  <c r="B269" i="9"/>
  <c r="B270" i="9" l="1"/>
  <c r="A271" i="9"/>
  <c r="A272" i="9" l="1"/>
  <c r="B271" i="9"/>
  <c r="B272" i="9" l="1"/>
  <c r="A273" i="9"/>
  <c r="A274" i="9" l="1"/>
  <c r="B273" i="9"/>
  <c r="A275" i="9" l="1"/>
  <c r="B274" i="9"/>
  <c r="B275" i="9" l="1"/>
  <c r="A276" i="9"/>
  <c r="B276" i="9" l="1"/>
  <c r="A277" i="9"/>
  <c r="A278" i="9" l="1"/>
  <c r="B277" i="9"/>
  <c r="B278" i="9" l="1"/>
  <c r="A279" i="9"/>
  <c r="A280" i="9" l="1"/>
  <c r="B279" i="9"/>
  <c r="A281" i="9" l="1"/>
  <c r="B280" i="9"/>
  <c r="B281" i="9" l="1"/>
  <c r="A282" i="9"/>
  <c r="B282" i="9" l="1"/>
  <c r="A283" i="9"/>
  <c r="B283" i="9" l="1"/>
  <c r="A284" i="9"/>
  <c r="A285" i="9" l="1"/>
  <c r="B284" i="9"/>
  <c r="A286" i="9" l="1"/>
  <c r="B285" i="9"/>
  <c r="B286" i="9" l="1"/>
  <c r="A287" i="9"/>
  <c r="A288" i="9" l="1"/>
  <c r="B287" i="9"/>
  <c r="B288" i="9" l="1"/>
  <c r="A289" i="9"/>
  <c r="A290" i="9" l="1"/>
  <c r="B289" i="9"/>
  <c r="A291" i="9" l="1"/>
  <c r="B290" i="9"/>
  <c r="A292" i="9" l="1"/>
  <c r="B291" i="9"/>
  <c r="A293" i="9" l="1"/>
  <c r="B292" i="9"/>
  <c r="B293" i="9" l="1"/>
  <c r="A294" i="9"/>
  <c r="A295" i="9" l="1"/>
  <c r="B294" i="9"/>
  <c r="A296" i="9" l="1"/>
  <c r="B295" i="9"/>
  <c r="B296" i="9" l="1"/>
  <c r="A297" i="9"/>
  <c r="A298" i="9" l="1"/>
  <c r="B297" i="9"/>
  <c r="A299" i="9" l="1"/>
  <c r="B298" i="9"/>
  <c r="A300" i="9" l="1"/>
  <c r="B299" i="9"/>
  <c r="A301" i="9" l="1"/>
  <c r="B300" i="9"/>
  <c r="A302" i="9" l="1"/>
  <c r="B301" i="9"/>
  <c r="B302" i="9" l="1"/>
  <c r="A303" i="9"/>
  <c r="A304" i="9" l="1"/>
  <c r="B303" i="9"/>
  <c r="A305" i="9" l="1"/>
  <c r="B304" i="9"/>
  <c r="A306" i="9" l="1"/>
  <c r="B305" i="9"/>
  <c r="A307" i="9" l="1"/>
  <c r="B306" i="9"/>
  <c r="A308" i="9" l="1"/>
  <c r="B307" i="9"/>
  <c r="A309" i="9" l="1"/>
  <c r="B308" i="9"/>
  <c r="A310" i="9" l="1"/>
  <c r="B309" i="9"/>
  <c r="A311" i="9" l="1"/>
  <c r="B310" i="9"/>
  <c r="A312" i="9" l="1"/>
  <c r="B311" i="9"/>
  <c r="A313" i="9" l="1"/>
  <c r="B312" i="9"/>
  <c r="A314" i="9" l="1"/>
  <c r="B313" i="9"/>
  <c r="A315" i="9" l="1"/>
  <c r="B314" i="9"/>
  <c r="B315" i="9" l="1"/>
  <c r="A316" i="9"/>
  <c r="A317" i="9" l="1"/>
  <c r="B316" i="9"/>
  <c r="B317" i="9" l="1"/>
  <c r="A318" i="9"/>
  <c r="B318" i="9" l="1"/>
  <c r="A319" i="9"/>
  <c r="A320" i="9" l="1"/>
  <c r="B319" i="9"/>
  <c r="B320" i="9" l="1"/>
  <c r="A321" i="9"/>
  <c r="B321" i="9" l="1"/>
  <c r="A322" i="9"/>
  <c r="B322" i="9" l="1"/>
  <c r="A323" i="9"/>
  <c r="A324" i="9" l="1"/>
  <c r="B323" i="9"/>
  <c r="B324" i="9" l="1"/>
  <c r="A325" i="9"/>
  <c r="A326" i="9" l="1"/>
  <c r="B325" i="9"/>
  <c r="B326" i="9" l="1"/>
  <c r="A327" i="9"/>
  <c r="B327" i="9" l="1"/>
  <c r="A328" i="9"/>
  <c r="B328" i="9" l="1"/>
  <c r="A329" i="9"/>
  <c r="B329" i="9" l="1"/>
  <c r="A330" i="9"/>
  <c r="B330" i="9" l="1"/>
  <c r="A331" i="9"/>
  <c r="B331" i="9" l="1"/>
  <c r="A332" i="9"/>
  <c r="B332" i="9" l="1"/>
  <c r="A333" i="9"/>
  <c r="B333" i="9" l="1"/>
  <c r="A334" i="9"/>
  <c r="B334" i="9" l="1"/>
  <c r="A335" i="9"/>
  <c r="B335" i="9" l="1"/>
  <c r="A336" i="9"/>
  <c r="B336" i="9" l="1"/>
  <c r="A337" i="9"/>
  <c r="A338" i="9" l="1"/>
  <c r="B337" i="9"/>
  <c r="B338" i="9" l="1"/>
  <c r="A339" i="9"/>
  <c r="B339" i="9" l="1"/>
  <c r="A340" i="9"/>
  <c r="A341" i="9" l="1"/>
  <c r="B340" i="9"/>
  <c r="B341" i="9" l="1"/>
  <c r="A342" i="9"/>
  <c r="A343" i="9" l="1"/>
  <c r="B342" i="9"/>
  <c r="A344" i="9" l="1"/>
  <c r="B343" i="9"/>
  <c r="A345" i="9" l="1"/>
  <c r="B344" i="9"/>
  <c r="A346" i="9" l="1"/>
  <c r="B345" i="9"/>
  <c r="A347" i="9" l="1"/>
  <c r="B346" i="9"/>
  <c r="A348" i="9" l="1"/>
  <c r="B347" i="9"/>
  <c r="B348" i="9" l="1"/>
  <c r="A349" i="9"/>
  <c r="B349" i="9" l="1"/>
  <c r="A350" i="9"/>
  <c r="A351" i="9" l="1"/>
  <c r="B350" i="9"/>
  <c r="B351" i="9" l="1"/>
  <c r="A352" i="9"/>
  <c r="B352" i="9" l="1"/>
  <c r="A353" i="9"/>
  <c r="B353" i="9" l="1"/>
  <c r="A354" i="9"/>
  <c r="A355" i="9" l="1"/>
  <c r="B354" i="9"/>
  <c r="A356" i="9" l="1"/>
  <c r="B355" i="9"/>
  <c r="A357" i="9" l="1"/>
  <c r="B356" i="9"/>
  <c r="B357" i="9" l="1"/>
  <c r="A358" i="9"/>
  <c r="B358" i="9" l="1"/>
  <c r="A359" i="9"/>
  <c r="B359" i="9" l="1"/>
  <c r="A360" i="9"/>
  <c r="B360" i="9" l="1"/>
  <c r="A361" i="9"/>
  <c r="A362" i="9" l="1"/>
  <c r="B361" i="9"/>
  <c r="A363" i="9" l="1"/>
  <c r="B362" i="9"/>
  <c r="B363" i="9" l="1"/>
  <c r="A364" i="9"/>
  <c r="A365" i="9" l="1"/>
  <c r="B364" i="9"/>
  <c r="B365" i="9" l="1"/>
  <c r="A366" i="9"/>
  <c r="A367" i="9" l="1"/>
  <c r="B366" i="9"/>
  <c r="A368" i="9" l="1"/>
  <c r="B367" i="9"/>
  <c r="B368" i="9" l="1"/>
  <c r="A369" i="9"/>
  <c r="B369" i="9" l="1"/>
  <c r="A370" i="9"/>
  <c r="A371" i="9" l="1"/>
  <c r="B370" i="9"/>
  <c r="A372" i="9" l="1"/>
  <c r="B371" i="9"/>
  <c r="A373" i="9" l="1"/>
  <c r="B372" i="9"/>
  <c r="A374" i="9" l="1"/>
  <c r="B373" i="9"/>
  <c r="B374" i="9" l="1"/>
  <c r="A375" i="9"/>
  <c r="A376" i="9" l="1"/>
  <c r="B375" i="9"/>
  <c r="A377" i="9" l="1"/>
  <c r="B376" i="9"/>
  <c r="B377" i="9" l="1"/>
  <c r="A378" i="9"/>
  <c r="A379" i="9" l="1"/>
  <c r="B378" i="9"/>
  <c r="A380" i="9" l="1"/>
  <c r="B379" i="9"/>
  <c r="B380" i="9" l="1"/>
  <c r="A381" i="9"/>
  <c r="A382" i="9" l="1"/>
  <c r="B381" i="9"/>
  <c r="A383" i="9" l="1"/>
  <c r="B382" i="9"/>
  <c r="A384" i="9" l="1"/>
  <c r="B383" i="9"/>
  <c r="A385" i="9" l="1"/>
  <c r="B384" i="9"/>
  <c r="A386" i="9" l="1"/>
  <c r="B385" i="9"/>
  <c r="A387" i="9" l="1"/>
  <c r="B386" i="9"/>
  <c r="A388" i="9" l="1"/>
  <c r="B387" i="9"/>
  <c r="B388" i="9" l="1"/>
  <c r="A389" i="9"/>
  <c r="A390" i="9" l="1"/>
  <c r="B389" i="9"/>
  <c r="A391" i="9" l="1"/>
  <c r="B390" i="9"/>
  <c r="A392" i="9" l="1"/>
  <c r="B391" i="9"/>
  <c r="A393" i="9" l="1"/>
  <c r="B392" i="9"/>
  <c r="A394" i="9" l="1"/>
  <c r="B393" i="9"/>
  <c r="B394" i="9" l="1"/>
  <c r="A395" i="9"/>
  <c r="A396" i="9" l="1"/>
  <c r="B395" i="9"/>
  <c r="A397" i="9" l="1"/>
  <c r="B396" i="9"/>
  <c r="A398" i="9" l="1"/>
  <c r="B397" i="9"/>
  <c r="A399" i="9" l="1"/>
  <c r="B398" i="9"/>
  <c r="A400" i="9" l="1"/>
  <c r="B399" i="9"/>
  <c r="A401" i="9" l="1"/>
  <c r="B400" i="9"/>
  <c r="A402" i="9" l="1"/>
  <c r="B401" i="9"/>
  <c r="A403" i="9" l="1"/>
  <c r="B402" i="9"/>
  <c r="A404" i="9" l="1"/>
  <c r="B403" i="9"/>
  <c r="B404" i="9" l="1"/>
  <c r="A405" i="9"/>
  <c r="B405" i="9" l="1"/>
  <c r="A406" i="9"/>
  <c r="A407" i="9" l="1"/>
  <c r="B406" i="9"/>
  <c r="O25" i="2" l="1"/>
  <c r="N59" i="2"/>
  <c r="L27" i="2"/>
  <c r="O22" i="2"/>
  <c r="L21" i="2"/>
  <c r="L37" i="2"/>
  <c r="L23" i="2"/>
  <c r="O16" i="2"/>
  <c r="O15" i="4"/>
  <c r="O18" i="4"/>
  <c r="F15" i="20" s="1"/>
  <c r="O37" i="5"/>
  <c r="I52" i="20" s="1"/>
  <c r="O17" i="5"/>
  <c r="I13" i="20" s="1"/>
  <c r="O21" i="13"/>
  <c r="L21" i="20" s="1"/>
  <c r="O20" i="13"/>
  <c r="L19" i="20" s="1"/>
  <c r="O17" i="13"/>
  <c r="L13" i="20" s="1"/>
  <c r="O15" i="14"/>
  <c r="O28" i="14"/>
  <c r="O35" i="20" s="1"/>
  <c r="O18" i="2"/>
  <c r="O18" i="5"/>
  <c r="I15" i="20" s="1"/>
  <c r="O26" i="14"/>
  <c r="O31" i="20" s="1"/>
  <c r="O38" i="2"/>
  <c r="K59" i="2"/>
  <c r="L19" i="2"/>
  <c r="O37" i="4"/>
  <c r="F52" i="20" s="1"/>
  <c r="O34" i="2"/>
  <c r="L26" i="2"/>
  <c r="L29" i="2"/>
  <c r="L17" i="2"/>
  <c r="O22" i="4"/>
  <c r="F23" i="20" s="1"/>
  <c r="O20" i="5"/>
  <c r="I19" i="20" s="1"/>
  <c r="O33" i="5"/>
  <c r="I44" i="20" s="1"/>
  <c r="O25" i="5"/>
  <c r="I29" i="20" s="1"/>
  <c r="O37" i="13"/>
  <c r="L52" i="20" s="1"/>
  <c r="O25" i="13"/>
  <c r="L29" i="20" s="1"/>
  <c r="O20" i="14"/>
  <c r="O19" i="20" s="1"/>
  <c r="O36" i="14"/>
  <c r="O50" i="20" s="1"/>
  <c r="O25" i="14"/>
  <c r="O29" i="20" s="1"/>
  <c r="O35" i="2"/>
  <c r="O17" i="4"/>
  <c r="F13" i="20" s="1"/>
  <c r="O24" i="14"/>
  <c r="O27" i="20" s="1"/>
  <c r="L16" i="2"/>
  <c r="L22" i="2"/>
  <c r="A408" i="9"/>
  <c r="L18" i="2"/>
  <c r="O32" i="4"/>
  <c r="F42" i="20" s="1"/>
  <c r="O40" i="2"/>
  <c r="O36" i="4"/>
  <c r="F50" i="20" s="1"/>
  <c r="L15" i="2"/>
  <c r="O16" i="4"/>
  <c r="F11" i="20" s="1"/>
  <c r="O21" i="5"/>
  <c r="I21" i="20" s="1"/>
  <c r="O22" i="5"/>
  <c r="I23" i="20" s="1"/>
  <c r="O36" i="5"/>
  <c r="I50" i="20" s="1"/>
  <c r="O32" i="13"/>
  <c r="L42" i="20" s="1"/>
  <c r="O22" i="13"/>
  <c r="L23" i="20" s="1"/>
  <c r="O33" i="13"/>
  <c r="L44" i="20" s="1"/>
  <c r="O21" i="14"/>
  <c r="O21" i="20" s="1"/>
  <c r="O23" i="14"/>
  <c r="O25" i="20" s="1"/>
  <c r="O40" i="14"/>
  <c r="O58" i="20" s="1"/>
  <c r="O37" i="2"/>
  <c r="O24" i="13"/>
  <c r="L27" i="20" s="1"/>
  <c r="O17" i="2"/>
  <c r="L20" i="2"/>
  <c r="B407" i="9"/>
  <c r="L35" i="2"/>
  <c r="L40" i="2"/>
  <c r="O36" i="2"/>
  <c r="L36" i="2"/>
  <c r="L33" i="2"/>
  <c r="O19" i="4"/>
  <c r="F17" i="20" s="1"/>
  <c r="O26" i="5"/>
  <c r="I31" i="20" s="1"/>
  <c r="O32" i="5"/>
  <c r="I42" i="20" s="1"/>
  <c r="O15" i="5"/>
  <c r="O16" i="13"/>
  <c r="L11" i="20" s="1"/>
  <c r="O27" i="13"/>
  <c r="L33" i="20" s="1"/>
  <c r="O18" i="13"/>
  <c r="L15" i="20" s="1"/>
  <c r="O38" i="14"/>
  <c r="O54" i="20" s="1"/>
  <c r="O37" i="14"/>
  <c r="O52" i="20" s="1"/>
  <c r="O32" i="14"/>
  <c r="O42" i="20" s="1"/>
  <c r="O21" i="2"/>
  <c r="O28" i="5"/>
  <c r="I35" i="20" s="1"/>
  <c r="O22" i="14"/>
  <c r="O23" i="20" s="1"/>
  <c r="O19" i="2"/>
  <c r="O23" i="2"/>
  <c r="L32" i="2"/>
  <c r="L34" i="2"/>
  <c r="O23" i="4"/>
  <c r="F25" i="20" s="1"/>
  <c r="O29" i="4"/>
  <c r="F37" i="20" s="1"/>
  <c r="O26" i="4"/>
  <c r="F31" i="20" s="1"/>
  <c r="L24" i="2"/>
  <c r="L28" i="2"/>
  <c r="O34" i="5"/>
  <c r="I46" i="20" s="1"/>
  <c r="O38" i="5"/>
  <c r="I54" i="20" s="1"/>
  <c r="O29" i="5"/>
  <c r="I37" i="20" s="1"/>
  <c r="O34" i="13"/>
  <c r="L46" i="20" s="1"/>
  <c r="O38" i="13"/>
  <c r="L54" i="20" s="1"/>
  <c r="O19" i="13"/>
  <c r="L17" i="20" s="1"/>
  <c r="O35" i="14"/>
  <c r="O48" i="20" s="1"/>
  <c r="O34" i="14"/>
  <c r="O46" i="20" s="1"/>
  <c r="O16" i="14"/>
  <c r="O11" i="20" s="1"/>
  <c r="O21" i="4"/>
  <c r="F21" i="20" s="1"/>
  <c r="O40" i="13"/>
  <c r="L58" i="20" s="1"/>
  <c r="O27" i="2"/>
  <c r="O32" i="2"/>
  <c r="O24" i="4"/>
  <c r="F27" i="20" s="1"/>
  <c r="O26" i="2"/>
  <c r="O33" i="2"/>
  <c r="O25" i="4"/>
  <c r="F29" i="20" s="1"/>
  <c r="O20" i="2"/>
  <c r="O38" i="4"/>
  <c r="F54" i="20" s="1"/>
  <c r="O35" i="4"/>
  <c r="F48" i="20" s="1"/>
  <c r="O16" i="5"/>
  <c r="I11" i="20" s="1"/>
  <c r="O35" i="5"/>
  <c r="I48" i="20" s="1"/>
  <c r="O40" i="5"/>
  <c r="I58" i="20" s="1"/>
  <c r="O26" i="13"/>
  <c r="L31" i="20" s="1"/>
  <c r="O15" i="13"/>
  <c r="O29" i="13"/>
  <c r="L37" i="20" s="1"/>
  <c r="O27" i="14"/>
  <c r="O33" i="20" s="1"/>
  <c r="O18" i="14"/>
  <c r="O15" i="20" s="1"/>
  <c r="O29" i="14"/>
  <c r="O37" i="20" s="1"/>
  <c r="L25" i="2"/>
  <c r="O27" i="5"/>
  <c r="I33" i="20" s="1"/>
  <c r="L38" i="2"/>
  <c r="O29" i="2"/>
  <c r="O40" i="4"/>
  <c r="F58" i="20" s="1"/>
  <c r="O34" i="4"/>
  <c r="F46" i="20" s="1"/>
  <c r="O33" i="4"/>
  <c r="F44" i="20" s="1"/>
  <c r="O15" i="2"/>
  <c r="O27" i="4"/>
  <c r="F33" i="20" s="1"/>
  <c r="O20" i="4"/>
  <c r="F19" i="20" s="1"/>
  <c r="O28" i="2"/>
  <c r="O24" i="5"/>
  <c r="I27" i="20" s="1"/>
  <c r="O23" i="5"/>
  <c r="I25" i="20" s="1"/>
  <c r="O19" i="5"/>
  <c r="I17" i="20" s="1"/>
  <c r="O36" i="13"/>
  <c r="L50" i="20" s="1"/>
  <c r="O23" i="13"/>
  <c r="L25" i="20" s="1"/>
  <c r="O35" i="13"/>
  <c r="L48" i="20" s="1"/>
  <c r="O33" i="14"/>
  <c r="O44" i="20" s="1"/>
  <c r="O19" i="14"/>
  <c r="O17" i="20" s="1"/>
  <c r="O17" i="14"/>
  <c r="O13" i="20" s="1"/>
  <c r="O24" i="2"/>
  <c r="O28" i="4"/>
  <c r="F35" i="20" s="1"/>
  <c r="O28" i="13"/>
  <c r="L35" i="20" s="1"/>
  <c r="O97" i="20" l="1"/>
  <c r="O99" i="20"/>
  <c r="L97" i="20"/>
  <c r="L99" i="20"/>
  <c r="I97" i="20"/>
  <c r="I99" i="20"/>
  <c r="F97" i="20"/>
  <c r="F99" i="20"/>
  <c r="B48" i="20"/>
  <c r="Q48" i="20" s="1"/>
  <c r="L35" i="6"/>
  <c r="B47" i="16"/>
  <c r="G47" i="16" s="1"/>
  <c r="O30" i="14"/>
  <c r="O9" i="20"/>
  <c r="O32" i="6"/>
  <c r="C42" i="20"/>
  <c r="L23" i="6"/>
  <c r="B24" i="16"/>
  <c r="G24" i="16" s="1"/>
  <c r="B25" i="20"/>
  <c r="Q25" i="20" s="1"/>
  <c r="C33" i="20"/>
  <c r="R33" i="20" s="1"/>
  <c r="O27" i="6"/>
  <c r="O95" i="20"/>
  <c r="B18" i="16"/>
  <c r="G18" i="16" s="1"/>
  <c r="B19" i="20"/>
  <c r="Q19" i="20" s="1"/>
  <c r="L20" i="6"/>
  <c r="O40" i="6"/>
  <c r="C58" i="20"/>
  <c r="R58" i="20" s="1"/>
  <c r="O35" i="6"/>
  <c r="C48" i="20"/>
  <c r="R48" i="20" s="1"/>
  <c r="I62" i="18"/>
  <c r="S62" i="18" s="1"/>
  <c r="B71" i="20"/>
  <c r="Q71" i="20" s="1"/>
  <c r="B73" i="16"/>
  <c r="G73" i="16" s="1"/>
  <c r="K59" i="6"/>
  <c r="K74" i="2"/>
  <c r="L37" i="6"/>
  <c r="B52" i="20"/>
  <c r="Q52" i="20" s="1"/>
  <c r="B51" i="16"/>
  <c r="G51" i="16" s="1"/>
  <c r="I95" i="20"/>
  <c r="B45" i="16"/>
  <c r="G45" i="16" s="1"/>
  <c r="B46" i="20"/>
  <c r="Q46" i="20" s="1"/>
  <c r="L34" i="6"/>
  <c r="O17" i="6"/>
  <c r="C13" i="20"/>
  <c r="R13" i="20" s="1"/>
  <c r="L95" i="20"/>
  <c r="F95" i="20"/>
  <c r="O38" i="6"/>
  <c r="C54" i="20"/>
  <c r="C99" i="20" s="1"/>
  <c r="B20" i="16"/>
  <c r="G20" i="16" s="1"/>
  <c r="B21" i="20"/>
  <c r="Q21" i="20" s="1"/>
  <c r="L21" i="6"/>
  <c r="B9" i="20"/>
  <c r="Q9" i="20" s="1"/>
  <c r="L30" i="2"/>
  <c r="B8" i="16"/>
  <c r="G8" i="16" s="1"/>
  <c r="L15" i="6"/>
  <c r="C11" i="20"/>
  <c r="R11" i="20" s="1"/>
  <c r="O16" i="6"/>
  <c r="O15" i="6"/>
  <c r="O30" i="2"/>
  <c r="C9" i="20"/>
  <c r="C27" i="20"/>
  <c r="R27" i="20" s="1"/>
  <c r="O24" i="6"/>
  <c r="C19" i="20"/>
  <c r="R19" i="20" s="1"/>
  <c r="O20" i="6"/>
  <c r="L32" i="6"/>
  <c r="B41" i="16"/>
  <c r="G41" i="16" s="1"/>
  <c r="B42" i="20"/>
  <c r="Q42" i="20" s="1"/>
  <c r="L33" i="6"/>
  <c r="B44" i="20"/>
  <c r="Q44" i="20" s="1"/>
  <c r="B43" i="16"/>
  <c r="G43" i="16" s="1"/>
  <c r="L18" i="6"/>
  <c r="B14" i="16"/>
  <c r="G14" i="16" s="1"/>
  <c r="B15" i="20"/>
  <c r="Q15" i="20" s="1"/>
  <c r="B13" i="20"/>
  <c r="Q13" i="20" s="1"/>
  <c r="B12" i="16"/>
  <c r="G12" i="16" s="1"/>
  <c r="L17" i="6"/>
  <c r="O22" i="6"/>
  <c r="C23" i="20"/>
  <c r="R23" i="20" s="1"/>
  <c r="L25" i="6"/>
  <c r="B28" i="16"/>
  <c r="G28" i="16" s="1"/>
  <c r="B29" i="20"/>
  <c r="Q29" i="20" s="1"/>
  <c r="O29" i="6"/>
  <c r="C37" i="20"/>
  <c r="R37" i="20" s="1"/>
  <c r="O30" i="13"/>
  <c r="L9" i="20"/>
  <c r="O23" i="6"/>
  <c r="C25" i="20"/>
  <c r="R25" i="20" s="1"/>
  <c r="B50" i="20"/>
  <c r="Q50" i="20" s="1"/>
  <c r="L36" i="6"/>
  <c r="B49" i="16"/>
  <c r="G49" i="16" s="1"/>
  <c r="O37" i="6"/>
  <c r="C52" i="20"/>
  <c r="R52" i="20" s="1"/>
  <c r="A409" i="9"/>
  <c r="B408" i="9"/>
  <c r="L29" i="6"/>
  <c r="B36" i="16"/>
  <c r="G36" i="16" s="1"/>
  <c r="B37" i="20"/>
  <c r="Q37" i="20" s="1"/>
  <c r="L27" i="6"/>
  <c r="B32" i="16"/>
  <c r="G32" i="16" s="1"/>
  <c r="B33" i="20"/>
  <c r="Q33" i="20" s="1"/>
  <c r="O30" i="5"/>
  <c r="I9" i="20"/>
  <c r="O28" i="6"/>
  <c r="C35" i="20"/>
  <c r="R35" i="20" s="1"/>
  <c r="B54" i="20"/>
  <c r="Q54" i="20" s="1"/>
  <c r="L38" i="6"/>
  <c r="B53" i="16"/>
  <c r="G53" i="16" s="1"/>
  <c r="O33" i="6"/>
  <c r="C44" i="20"/>
  <c r="R44" i="20" s="1"/>
  <c r="L28" i="6"/>
  <c r="B34" i="16"/>
  <c r="G34" i="16" s="1"/>
  <c r="B35" i="20"/>
  <c r="Q35" i="20" s="1"/>
  <c r="C17" i="20"/>
  <c r="R17" i="20" s="1"/>
  <c r="O19" i="6"/>
  <c r="C50" i="20"/>
  <c r="R50" i="20" s="1"/>
  <c r="O36" i="6"/>
  <c r="L22" i="6"/>
  <c r="B22" i="16"/>
  <c r="G22" i="16" s="1"/>
  <c r="B23" i="20"/>
  <c r="Q23" i="20" s="1"/>
  <c r="L26" i="6"/>
  <c r="B31" i="20"/>
  <c r="Q31" i="20" s="1"/>
  <c r="B30" i="16"/>
  <c r="G30" i="16" s="1"/>
  <c r="C15" i="20"/>
  <c r="R15" i="20" s="1"/>
  <c r="O18" i="6"/>
  <c r="N59" i="6"/>
  <c r="N74" i="6" s="1"/>
  <c r="C71" i="20"/>
  <c r="N74" i="2"/>
  <c r="C86" i="20" s="1"/>
  <c r="R86" i="20" s="1"/>
  <c r="N62" i="18"/>
  <c r="T62" i="18" s="1"/>
  <c r="O21" i="6"/>
  <c r="C21" i="20"/>
  <c r="R21" i="20" s="1"/>
  <c r="L19" i="6"/>
  <c r="B16" i="16"/>
  <c r="G16" i="16" s="1"/>
  <c r="B17" i="20"/>
  <c r="Q17" i="20" s="1"/>
  <c r="O26" i="6"/>
  <c r="C31" i="20"/>
  <c r="R31" i="20" s="1"/>
  <c r="L24" i="6"/>
  <c r="B27" i="20"/>
  <c r="Q27" i="20" s="1"/>
  <c r="B26" i="16"/>
  <c r="G26" i="16" s="1"/>
  <c r="L40" i="6"/>
  <c r="B57" i="16"/>
  <c r="G57" i="16" s="1"/>
  <c r="B58" i="20"/>
  <c r="Q58" i="20" s="1"/>
  <c r="B11" i="20"/>
  <c r="Q11" i="20" s="1"/>
  <c r="L16" i="6"/>
  <c r="B10" i="16"/>
  <c r="G10" i="16" s="1"/>
  <c r="O34" i="6"/>
  <c r="C46" i="20"/>
  <c r="R46" i="20" s="1"/>
  <c r="O30" i="4"/>
  <c r="F9" i="20"/>
  <c r="O25" i="6"/>
  <c r="C29" i="20"/>
  <c r="R29" i="20" s="1"/>
  <c r="R71" i="20" l="1"/>
  <c r="R100" i="20" s="1"/>
  <c r="C100" i="20"/>
  <c r="R54" i="20"/>
  <c r="C97" i="20"/>
  <c r="L30" i="6"/>
  <c r="K42" i="6" s="1"/>
  <c r="A62" i="18"/>
  <c r="K74" i="6"/>
  <c r="A53" i="18" s="1"/>
  <c r="U53" i="18" s="1"/>
  <c r="N42" i="14"/>
  <c r="O39" i="20"/>
  <c r="O94" i="20" s="1"/>
  <c r="O30" i="6"/>
  <c r="N42" i="6" s="1"/>
  <c r="N43" i="6" s="1"/>
  <c r="N75" i="6" s="1"/>
  <c r="N42" i="5"/>
  <c r="I39" i="20"/>
  <c r="I94" i="20" s="1"/>
  <c r="A410" i="9"/>
  <c r="B409" i="9"/>
  <c r="B38" i="16"/>
  <c r="G38" i="16" s="1"/>
  <c r="B39" i="20"/>
  <c r="Q39" i="20" s="1"/>
  <c r="K42" i="2"/>
  <c r="R42" i="20"/>
  <c r="R95" i="20" s="1"/>
  <c r="C95" i="20"/>
  <c r="N42" i="13"/>
  <c r="L39" i="20"/>
  <c r="L94" i="20" s="1"/>
  <c r="R9" i="20"/>
  <c r="F39" i="20"/>
  <c r="F94" i="20" s="1"/>
  <c r="N42" i="4"/>
  <c r="C39" i="20"/>
  <c r="C94" i="20" s="1"/>
  <c r="N42" i="2"/>
  <c r="B88" i="16"/>
  <c r="G88" i="16" s="1"/>
  <c r="B86" i="20"/>
  <c r="Q86" i="20" s="1"/>
  <c r="R97" i="20" l="1"/>
  <c r="R99" i="20"/>
  <c r="D45" i="18"/>
  <c r="C45" i="18"/>
  <c r="A45" i="18"/>
  <c r="C44" i="18"/>
  <c r="A43" i="18"/>
  <c r="A44" i="18"/>
  <c r="N43" i="13"/>
  <c r="L60" i="20"/>
  <c r="I60" i="20"/>
  <c r="N43" i="5"/>
  <c r="C60" i="20"/>
  <c r="N43" i="2"/>
  <c r="R39" i="20"/>
  <c r="R94" i="20" s="1"/>
  <c r="B59" i="16"/>
  <c r="G59" i="16" s="1"/>
  <c r="K43" i="2"/>
  <c r="B60" i="20"/>
  <c r="Q60" i="20" s="1"/>
  <c r="F60" i="20"/>
  <c r="N43" i="4"/>
  <c r="O60" i="20"/>
  <c r="N43" i="14"/>
  <c r="U62" i="18"/>
  <c r="U63" i="18"/>
  <c r="A411" i="9"/>
  <c r="B410" i="9"/>
  <c r="A41" i="18"/>
  <c r="A40" i="18"/>
  <c r="A37" i="18"/>
  <c r="A34" i="18"/>
  <c r="U45" i="18" s="1"/>
  <c r="C38" i="18"/>
  <c r="A39" i="18"/>
  <c r="C37" i="18"/>
  <c r="A38" i="18"/>
  <c r="C43" i="18"/>
  <c r="A35" i="18"/>
  <c r="K43" i="6"/>
  <c r="C39" i="18"/>
  <c r="A42" i="18"/>
  <c r="C41" i="18"/>
  <c r="C42" i="18"/>
  <c r="C40" i="18"/>
  <c r="U43" i="18" l="1"/>
  <c r="U44" i="18"/>
  <c r="U42" i="18"/>
  <c r="K75" i="6"/>
  <c r="O61" i="20"/>
  <c r="N75" i="14"/>
  <c r="N75" i="2"/>
  <c r="C61" i="20"/>
  <c r="R60" i="20"/>
  <c r="F61" i="20"/>
  <c r="N75" i="4"/>
  <c r="I61" i="20"/>
  <c r="N75" i="5"/>
  <c r="U37" i="18"/>
  <c r="U35" i="18"/>
  <c r="U39" i="18"/>
  <c r="U38" i="18"/>
  <c r="U46" i="18"/>
  <c r="U40" i="18"/>
  <c r="U34" i="18"/>
  <c r="U41" i="18"/>
  <c r="B411" i="9"/>
  <c r="A412" i="9"/>
  <c r="K75" i="2"/>
  <c r="B60" i="16"/>
  <c r="G60" i="16" s="1"/>
  <c r="B61" i="20"/>
  <c r="Q61" i="20" s="1"/>
  <c r="L61" i="20"/>
  <c r="N75" i="13"/>
  <c r="R61" i="20" l="1"/>
  <c r="N82" i="14"/>
  <c r="C88" i="20"/>
  <c r="N82" i="5"/>
  <c r="G79" i="2"/>
  <c r="N82" i="13"/>
  <c r="N82" i="4"/>
  <c r="N82" i="2"/>
  <c r="A413" i="9"/>
  <c r="B412" i="9"/>
  <c r="G79" i="14"/>
  <c r="O88" i="20"/>
  <c r="I88" i="20"/>
  <c r="G79" i="5"/>
  <c r="G79" i="13"/>
  <c r="L88" i="20"/>
  <c r="K82" i="14"/>
  <c r="K82" i="13"/>
  <c r="K83" i="4"/>
  <c r="B90" i="16"/>
  <c r="G90" i="16" s="1"/>
  <c r="B88" i="20"/>
  <c r="Q88" i="20" s="1"/>
  <c r="K83" i="5"/>
  <c r="K83" i="2"/>
  <c r="K83" i="13"/>
  <c r="G78" i="2"/>
  <c r="K83" i="14"/>
  <c r="K82" i="2"/>
  <c r="K82" i="4"/>
  <c r="K82" i="5"/>
  <c r="F88" i="20"/>
  <c r="G79" i="4"/>
  <c r="A79" i="4" l="1"/>
  <c r="F90" i="20"/>
  <c r="L90" i="20"/>
  <c r="A79" i="13"/>
  <c r="I90" i="20"/>
  <c r="A79" i="5"/>
  <c r="G79" i="6"/>
  <c r="A79" i="6" s="1"/>
  <c r="A79" i="2"/>
  <c r="C90" i="20"/>
  <c r="A79" i="14"/>
  <c r="O90" i="20"/>
  <c r="R88" i="20"/>
  <c r="B92" i="16"/>
  <c r="G92" i="16" s="1"/>
  <c r="G78" i="6"/>
  <c r="B90" i="20"/>
  <c r="Q90" i="20" s="1"/>
  <c r="A414" i="9"/>
  <c r="B413" i="9"/>
  <c r="A415" i="9" l="1"/>
  <c r="B414" i="9"/>
  <c r="R90" i="20"/>
  <c r="A416" i="9" l="1"/>
  <c r="B415" i="9"/>
  <c r="A417" i="9" l="1"/>
  <c r="B416" i="9"/>
  <c r="A418" i="9" l="1"/>
  <c r="B417" i="9"/>
  <c r="A419" i="9" l="1"/>
  <c r="B418" i="9"/>
  <c r="B419" i="9" l="1"/>
  <c r="A420" i="9"/>
  <c r="B420" i="9" l="1"/>
  <c r="A421" i="9"/>
  <c r="A422" i="9" l="1"/>
  <c r="B421" i="9"/>
  <c r="A423" i="9" l="1"/>
  <c r="B422" i="9"/>
  <c r="B423" i="9" l="1"/>
  <c r="A424" i="9"/>
  <c r="A425" i="9" l="1"/>
  <c r="B424" i="9"/>
  <c r="B425" i="9" l="1"/>
  <c r="A426" i="9"/>
  <c r="B426" i="9" l="1"/>
  <c r="A427" i="9"/>
  <c r="B427" i="9" l="1"/>
  <c r="A428" i="9"/>
  <c r="A429" i="9" l="1"/>
  <c r="B428" i="9"/>
  <c r="B429" i="9" l="1"/>
  <c r="A430" i="9"/>
  <c r="A431" i="9" l="1"/>
  <c r="B430" i="9"/>
  <c r="A432" i="9" l="1"/>
  <c r="B431" i="9"/>
  <c r="A433" i="9" l="1"/>
  <c r="B432" i="9"/>
  <c r="B433" i="9" l="1"/>
  <c r="A434" i="9"/>
  <c r="A435" i="9" l="1"/>
  <c r="B434" i="9"/>
  <c r="A436" i="9" l="1"/>
  <c r="B435" i="9"/>
  <c r="A437" i="9" l="1"/>
  <c r="B436" i="9"/>
  <c r="B437" i="9" l="1"/>
  <c r="A438" i="9"/>
  <c r="A439" i="9" l="1"/>
  <c r="B438" i="9"/>
  <c r="A440" i="9" l="1"/>
  <c r="B439" i="9"/>
  <c r="A441" i="9" l="1"/>
  <c r="B440" i="9"/>
  <c r="A442" i="9" l="1"/>
  <c r="B441" i="9"/>
  <c r="A443" i="9" l="1"/>
  <c r="B442" i="9"/>
  <c r="A444" i="9" l="1"/>
  <c r="B443" i="9"/>
  <c r="A445" i="9" l="1"/>
  <c r="B444" i="9"/>
  <c r="A446" i="9" l="1"/>
  <c r="B445" i="9"/>
  <c r="A447" i="9" l="1"/>
  <c r="B446" i="9"/>
  <c r="B447" i="9" l="1"/>
  <c r="A448" i="9"/>
  <c r="B448" i="9" l="1"/>
  <c r="A449" i="9"/>
  <c r="A450" i="9" l="1"/>
  <c r="B449" i="9"/>
  <c r="B450" i="9" l="1"/>
  <c r="A451" i="9"/>
  <c r="B451" i="9" l="1"/>
  <c r="A452" i="9"/>
  <c r="A453" i="9" l="1"/>
  <c r="B452" i="9"/>
  <c r="A454" i="9" l="1"/>
  <c r="B453" i="9"/>
  <c r="B454" i="9" l="1"/>
  <c r="A455" i="9"/>
  <c r="A456" i="9" l="1"/>
  <c r="B455" i="9"/>
  <c r="B456" i="9" l="1"/>
  <c r="A457" i="9"/>
  <c r="B457" i="9" l="1"/>
  <c r="A458" i="9"/>
  <c r="B458" i="9" l="1"/>
  <c r="A459" i="9"/>
  <c r="A460" i="9" l="1"/>
  <c r="B459" i="9"/>
  <c r="B460" i="9" l="1"/>
  <c r="A461" i="9"/>
  <c r="B461" i="9" l="1"/>
  <c r="A462" i="9"/>
  <c r="A463" i="9" l="1"/>
  <c r="B462" i="9"/>
  <c r="A464" i="9" l="1"/>
  <c r="B463" i="9"/>
  <c r="B464" i="9" l="1"/>
  <c r="A465" i="9"/>
  <c r="B465" i="9" l="1"/>
  <c r="A466" i="9"/>
  <c r="B466" i="9" l="1"/>
  <c r="A467" i="9"/>
  <c r="B467" i="9" l="1"/>
  <c r="A468" i="9"/>
  <c r="A469" i="9" l="1"/>
  <c r="B468" i="9"/>
  <c r="B469" i="9" l="1"/>
  <c r="A470" i="9"/>
  <c r="A471" i="9" l="1"/>
  <c r="B470" i="9"/>
  <c r="B471" i="9" l="1"/>
  <c r="A472" i="9"/>
  <c r="B472" i="9" l="1"/>
  <c r="A473" i="9"/>
  <c r="B473" i="9" l="1"/>
  <c r="A474" i="9"/>
  <c r="B474" i="9" l="1"/>
  <c r="A475" i="9"/>
  <c r="B475" i="9" l="1"/>
  <c r="A476" i="9"/>
  <c r="B476" i="9" l="1"/>
  <c r="A477" i="9"/>
  <c r="B477" i="9" l="1"/>
  <c r="A478" i="9"/>
  <c r="A479" i="9" l="1"/>
  <c r="B478" i="9"/>
  <c r="A480" i="9" l="1"/>
  <c r="B479" i="9"/>
  <c r="A481" i="9" l="1"/>
  <c r="B480" i="9"/>
  <c r="A482" i="9" l="1"/>
  <c r="B481" i="9"/>
  <c r="B482" i="9" l="1"/>
  <c r="A483" i="9"/>
  <c r="B483" i="9" l="1"/>
  <c r="A484" i="9"/>
  <c r="A485" i="9" l="1"/>
  <c r="B484" i="9"/>
  <c r="A486" i="9" l="1"/>
  <c r="B485" i="9"/>
  <c r="B486" i="9" l="1"/>
  <c r="A487" i="9"/>
  <c r="A488" i="9" l="1"/>
  <c r="B487" i="9"/>
  <c r="B488" i="9" l="1"/>
  <c r="A489" i="9"/>
  <c r="B489" i="9" l="1"/>
  <c r="A490" i="9"/>
  <c r="A491" i="9" l="1"/>
  <c r="B490" i="9"/>
  <c r="B491" i="9" l="1"/>
  <c r="A492" i="9"/>
  <c r="A493" i="9" l="1"/>
  <c r="B492" i="9"/>
  <c r="A494" i="9" l="1"/>
  <c r="B493" i="9"/>
  <c r="A495" i="9" l="1"/>
  <c r="B494" i="9"/>
  <c r="A496" i="9" l="1"/>
  <c r="B495" i="9"/>
  <c r="A497" i="9" l="1"/>
  <c r="B496" i="9"/>
  <c r="A498" i="9" l="1"/>
  <c r="B497" i="9"/>
  <c r="A499" i="9" l="1"/>
  <c r="B498" i="9"/>
  <c r="B499" i="9" l="1"/>
  <c r="A500" i="9"/>
  <c r="A501" i="9" l="1"/>
  <c r="B500" i="9"/>
  <c r="A502" i="9" l="1"/>
  <c r="B501" i="9"/>
  <c r="A503" i="9" l="1"/>
  <c r="B502" i="9"/>
  <c r="B503" i="9" l="1"/>
  <c r="A504" i="9"/>
  <c r="B504" i="9" l="1"/>
  <c r="A505" i="9"/>
  <c r="A506" i="9" l="1"/>
  <c r="B505" i="9"/>
  <c r="A507" i="9" l="1"/>
  <c r="B506" i="9"/>
  <c r="A508" i="9" l="1"/>
  <c r="B507" i="9"/>
  <c r="B508" i="9" l="1"/>
  <c r="A509" i="9"/>
  <c r="A510" i="9" l="1"/>
  <c r="B509" i="9"/>
  <c r="B510" i="9" l="1"/>
  <c r="A511" i="9"/>
  <c r="B511" i="9" l="1"/>
  <c r="A512" i="9"/>
  <c r="G77" i="14" l="1"/>
  <c r="G77" i="2"/>
  <c r="A513" i="9"/>
  <c r="G77" i="13"/>
  <c r="B512" i="9"/>
  <c r="G77" i="4"/>
  <c r="G77" i="5"/>
  <c r="A514" i="9" l="1"/>
  <c r="B513" i="9"/>
  <c r="G77" i="6"/>
  <c r="A3" i="16"/>
  <c r="A3" i="20"/>
  <c r="A515" i="9" l="1"/>
  <c r="B514" i="9"/>
  <c r="A516" i="9" l="1"/>
  <c r="B515" i="9"/>
  <c r="B516" i="9" l="1"/>
  <c r="A517" i="9"/>
  <c r="A518" i="9" l="1"/>
  <c r="B517" i="9"/>
  <c r="B518" i="9" l="1"/>
  <c r="A519" i="9"/>
  <c r="A520" i="9" l="1"/>
  <c r="B519" i="9"/>
  <c r="B520" i="9" l="1"/>
  <c r="A521" i="9"/>
  <c r="A522" i="9" l="1"/>
  <c r="B521" i="9"/>
  <c r="A523" i="9" l="1"/>
  <c r="B522" i="9"/>
  <c r="B523" i="9" l="1"/>
  <c r="A524" i="9"/>
  <c r="A525" i="9" l="1"/>
  <c r="B524" i="9"/>
  <c r="A526" i="9" l="1"/>
  <c r="B525" i="9"/>
  <c r="B526" i="9" l="1"/>
  <c r="A527" i="9"/>
  <c r="A528" i="9" l="1"/>
  <c r="B527" i="9"/>
  <c r="B528" i="9" l="1"/>
  <c r="A529" i="9"/>
  <c r="A530" i="9" l="1"/>
  <c r="B529" i="9"/>
  <c r="B530" i="9" l="1"/>
  <c r="A531" i="9"/>
  <c r="B531" i="9" l="1"/>
  <c r="A532" i="9"/>
  <c r="B532" i="9" l="1"/>
  <c r="A533" i="9"/>
  <c r="A534" i="9" l="1"/>
  <c r="B533" i="9"/>
  <c r="B534" i="9" l="1"/>
  <c r="A535" i="9"/>
  <c r="B535" i="9" l="1"/>
  <c r="A536" i="9"/>
  <c r="A537" i="9" l="1"/>
  <c r="B536" i="9"/>
  <c r="A538" i="9" l="1"/>
  <c r="B537" i="9"/>
  <c r="A539" i="9" l="1"/>
  <c r="B538" i="9"/>
  <c r="B539" i="9" l="1"/>
  <c r="A540" i="9"/>
  <c r="B540" i="9" l="1"/>
  <c r="A541" i="9"/>
  <c r="A542" i="9" l="1"/>
  <c r="B541" i="9"/>
  <c r="A543" i="9" l="1"/>
  <c r="B542" i="9"/>
  <c r="A544" i="9" l="1"/>
  <c r="B543" i="9"/>
  <c r="A545" i="9" l="1"/>
  <c r="B544" i="9"/>
  <c r="A546" i="9" l="1"/>
  <c r="B545" i="9"/>
  <c r="A547" i="9" l="1"/>
  <c r="B546" i="9"/>
  <c r="A548" i="9" l="1"/>
  <c r="B547" i="9"/>
  <c r="B548" i="9" l="1"/>
  <c r="A549" i="9"/>
  <c r="A550" i="9" l="1"/>
  <c r="B549" i="9"/>
  <c r="A551" i="9" l="1"/>
  <c r="B550" i="9"/>
  <c r="A552" i="9" l="1"/>
  <c r="B551" i="9"/>
  <c r="A553" i="9" l="1"/>
  <c r="B552" i="9"/>
  <c r="A554" i="9" l="1"/>
  <c r="B553" i="9"/>
  <c r="A555" i="9" l="1"/>
  <c r="B554" i="9"/>
  <c r="A556" i="9" l="1"/>
  <c r="B555" i="9"/>
  <c r="B556" i="9" l="1"/>
  <c r="A557" i="9"/>
  <c r="B557" i="9" l="1"/>
  <c r="A558" i="9"/>
  <c r="B558" i="9" l="1"/>
  <c r="A559" i="9"/>
  <c r="B559" i="9" l="1"/>
  <c r="A560" i="9"/>
  <c r="A561" i="9" l="1"/>
  <c r="B560" i="9"/>
  <c r="A562" i="9" l="1"/>
  <c r="B561" i="9"/>
  <c r="B562" i="9" l="1"/>
  <c r="A563" i="9"/>
  <c r="A564" i="9" l="1"/>
  <c r="B563" i="9"/>
  <c r="A565" i="9" l="1"/>
  <c r="B564" i="9"/>
  <c r="A566" i="9" l="1"/>
  <c r="B565" i="9"/>
  <c r="A567" i="9" l="1"/>
  <c r="B566" i="9"/>
  <c r="B567" i="9" l="1"/>
  <c r="A568" i="9"/>
  <c r="A569" i="9" l="1"/>
  <c r="B568" i="9"/>
  <c r="B569" i="9" l="1"/>
  <c r="A570" i="9"/>
  <c r="A571" i="9" l="1"/>
  <c r="B570" i="9"/>
  <c r="B571" i="9" l="1"/>
  <c r="A572" i="9"/>
  <c r="A573" i="9" l="1"/>
  <c r="B572" i="9"/>
  <c r="A574" i="9" l="1"/>
  <c r="B573" i="9"/>
  <c r="B574" i="9" l="1"/>
  <c r="A575" i="9"/>
  <c r="B575" i="9" l="1"/>
  <c r="A576" i="9"/>
  <c r="B576" i="9" l="1"/>
  <c r="A577" i="9"/>
  <c r="B577" i="9" l="1"/>
  <c r="A578" i="9"/>
  <c r="B578" i="9" l="1"/>
  <c r="A579" i="9"/>
  <c r="B579" i="9" l="1"/>
  <c r="A580" i="9"/>
  <c r="B580" i="9" l="1"/>
  <c r="A581" i="9"/>
  <c r="B581" i="9" l="1"/>
  <c r="A582" i="9"/>
  <c r="B582" i="9" l="1"/>
  <c r="A583" i="9"/>
  <c r="A584" i="9" l="1"/>
  <c r="B583" i="9"/>
  <c r="B584" i="9" l="1"/>
  <c r="A585" i="9"/>
  <c r="B585" i="9" l="1"/>
  <c r="A586" i="9"/>
  <c r="B586" i="9" l="1"/>
  <c r="A587" i="9"/>
  <c r="B587" i="9" l="1"/>
  <c r="A588" i="9"/>
  <c r="A589" i="9" l="1"/>
  <c r="B588" i="9"/>
  <c r="B589" i="9" l="1"/>
  <c r="A590" i="9"/>
  <c r="B590" i="9" l="1"/>
  <c r="A591" i="9"/>
  <c r="A592" i="9" l="1"/>
  <c r="B591" i="9"/>
  <c r="B592" i="9" l="1"/>
  <c r="A593" i="9"/>
  <c r="B593" i="9" l="1"/>
  <c r="A594" i="9"/>
  <c r="A595" i="9" l="1"/>
  <c r="B594" i="9"/>
  <c r="B595" i="9" l="1"/>
  <c r="A596" i="9"/>
  <c r="A597" i="9" l="1"/>
  <c r="B596" i="9"/>
  <c r="B597" i="9" l="1"/>
  <c r="A598" i="9"/>
  <c r="B598" i="9" l="1"/>
  <c r="A599" i="9"/>
  <c r="A600" i="9" l="1"/>
  <c r="B599" i="9"/>
  <c r="A601" i="9" l="1"/>
  <c r="B600" i="9"/>
  <c r="B601" i="9" l="1"/>
  <c r="A602" i="9"/>
  <c r="B602" i="9" l="1"/>
  <c r="A603" i="9"/>
  <c r="A604" i="9" l="1"/>
  <c r="B603" i="9"/>
  <c r="B604" i="9" l="1"/>
  <c r="A605" i="9"/>
  <c r="A606" i="9" l="1"/>
  <c r="B605" i="9"/>
  <c r="A607" i="9" l="1"/>
  <c r="B606" i="9"/>
  <c r="A608" i="9" l="1"/>
  <c r="B607" i="9"/>
  <c r="A609" i="9" l="1"/>
  <c r="B608" i="9"/>
  <c r="A610" i="9" l="1"/>
  <c r="B609" i="9"/>
  <c r="A611" i="9" l="1"/>
  <c r="B610" i="9"/>
  <c r="A612" i="9" l="1"/>
  <c r="B611" i="9"/>
  <c r="A613" i="9" l="1"/>
  <c r="B612" i="9"/>
  <c r="A614" i="9" l="1"/>
  <c r="B613" i="9"/>
  <c r="B614" i="9" l="1"/>
  <c r="A615" i="9"/>
  <c r="A616" i="9" l="1"/>
  <c r="B615" i="9"/>
  <c r="A617" i="9" l="1"/>
  <c r="B616" i="9"/>
  <c r="A618" i="9" l="1"/>
  <c r="B617" i="9"/>
  <c r="A619" i="9" l="1"/>
  <c r="B618" i="9"/>
  <c r="A620" i="9" l="1"/>
  <c r="B619" i="9"/>
  <c r="A621" i="9" l="1"/>
  <c r="B620" i="9"/>
  <c r="B621" i="9" l="1"/>
  <c r="A622" i="9"/>
  <c r="B622" i="9" l="1"/>
  <c r="A623" i="9"/>
  <c r="A624" i="9" l="1"/>
  <c r="B623" i="9"/>
  <c r="A625" i="9" l="1"/>
  <c r="B624" i="9"/>
  <c r="B625" i="9" l="1"/>
  <c r="A626" i="9"/>
  <c r="A627" i="9" l="1"/>
  <c r="B626" i="9"/>
  <c r="B627" i="9" l="1"/>
  <c r="A628" i="9"/>
  <c r="A629" i="9" l="1"/>
  <c r="B628" i="9"/>
  <c r="A630" i="9" l="1"/>
  <c r="B629" i="9"/>
  <c r="A631" i="9" l="1"/>
  <c r="B630" i="9"/>
  <c r="B631" i="9" l="1"/>
  <c r="A632" i="9"/>
  <c r="B632" i="9" l="1"/>
  <c r="A633" i="9"/>
  <c r="B633" i="9" l="1"/>
  <c r="A634" i="9"/>
  <c r="B634" i="9" l="1"/>
  <c r="A635" i="9"/>
  <c r="A636" i="9" l="1"/>
  <c r="B635" i="9"/>
  <c r="B636" i="9" l="1"/>
  <c r="A637" i="9"/>
  <c r="A638" i="9" l="1"/>
  <c r="B637" i="9"/>
  <c r="A639" i="9" l="1"/>
  <c r="B638" i="9"/>
  <c r="A640" i="9" l="1"/>
  <c r="B639" i="9"/>
  <c r="A641" i="9" l="1"/>
  <c r="B640" i="9"/>
  <c r="B641" i="9" l="1"/>
  <c r="A642" i="9"/>
  <c r="B642" i="9" l="1"/>
  <c r="A643" i="9"/>
  <c r="B643" i="9" l="1"/>
  <c r="A644" i="9"/>
  <c r="B644" i="9" l="1"/>
  <c r="A645" i="9"/>
  <c r="A646" i="9" l="1"/>
  <c r="B645" i="9"/>
  <c r="A647" i="9" l="1"/>
  <c r="B646" i="9"/>
  <c r="A648" i="9" l="1"/>
  <c r="B647" i="9"/>
  <c r="B648" i="9" l="1"/>
  <c r="A649" i="9"/>
  <c r="B649" i="9" l="1"/>
  <c r="A650" i="9"/>
  <c r="A651" i="9" l="1"/>
  <c r="B650" i="9"/>
  <c r="A652" i="9" l="1"/>
  <c r="B651" i="9"/>
  <c r="B652" i="9" l="1"/>
  <c r="A653" i="9"/>
  <c r="A654" i="9" l="1"/>
  <c r="B653" i="9"/>
  <c r="B654" i="9" l="1"/>
  <c r="A655" i="9"/>
  <c r="B655" i="9" l="1"/>
  <c r="A656" i="9"/>
  <c r="B656" i="9" l="1"/>
  <c r="A657" i="9"/>
  <c r="B657" i="9" l="1"/>
  <c r="A658" i="9"/>
  <c r="B658" i="9" l="1"/>
  <c r="A659" i="9"/>
  <c r="B659" i="9" l="1"/>
  <c r="A660" i="9"/>
  <c r="B660" i="9" l="1"/>
  <c r="A661" i="9"/>
  <c r="B661" i="9" l="1"/>
  <c r="A662" i="9"/>
  <c r="B662" i="9" l="1"/>
  <c r="A663" i="9"/>
  <c r="A664" i="9" l="1"/>
  <c r="B663" i="9"/>
  <c r="A665" i="9" l="1"/>
  <c r="B664" i="9"/>
  <c r="B665" i="9" l="1"/>
  <c r="A666" i="9"/>
  <c r="A667" i="9" l="1"/>
  <c r="B666" i="9"/>
  <c r="A668" i="9" l="1"/>
  <c r="B667" i="9"/>
  <c r="B668" i="9" l="1"/>
  <c r="A669" i="9"/>
  <c r="A670" i="9" l="1"/>
  <c r="B669" i="9"/>
  <c r="B670" i="9" l="1"/>
  <c r="A671" i="9"/>
  <c r="A672" i="9" l="1"/>
  <c r="B671" i="9"/>
  <c r="A673" i="9" l="1"/>
  <c r="B672" i="9"/>
  <c r="B673" i="9" l="1"/>
  <c r="A674" i="9"/>
  <c r="A675" i="9" l="1"/>
  <c r="B674" i="9"/>
  <c r="A676" i="9" l="1"/>
  <c r="B675" i="9"/>
  <c r="A677" i="9" l="1"/>
  <c r="B676" i="9"/>
  <c r="B677" i="9" l="1"/>
  <c r="A678" i="9"/>
  <c r="B678" i="9" l="1"/>
  <c r="A679" i="9"/>
  <c r="A680" i="9" l="1"/>
  <c r="B679" i="9"/>
  <c r="B680" i="9" l="1"/>
  <c r="A681" i="9"/>
  <c r="A682" i="9" l="1"/>
  <c r="B681" i="9"/>
  <c r="A683" i="9" l="1"/>
  <c r="B682" i="9"/>
  <c r="A684" i="9" l="1"/>
  <c r="B683" i="9"/>
  <c r="A685" i="9" l="1"/>
  <c r="B684" i="9"/>
  <c r="A686" i="9" l="1"/>
  <c r="B685" i="9"/>
  <c r="A687" i="9" l="1"/>
  <c r="B686" i="9"/>
  <c r="A688" i="9" l="1"/>
  <c r="B687" i="9"/>
  <c r="A689" i="9" l="1"/>
  <c r="B688" i="9"/>
  <c r="A690" i="9" l="1"/>
  <c r="B689" i="9"/>
  <c r="A691" i="9" l="1"/>
  <c r="B690" i="9"/>
  <c r="A692" i="9" l="1"/>
  <c r="B691" i="9"/>
  <c r="A693" i="9" l="1"/>
  <c r="B692" i="9"/>
  <c r="A694" i="9" l="1"/>
  <c r="B693" i="9"/>
  <c r="A695" i="9" l="1"/>
  <c r="B694" i="9"/>
  <c r="B695" i="9" l="1"/>
  <c r="A696" i="9"/>
  <c r="A697" i="9" l="1"/>
  <c r="B696" i="9"/>
  <c r="A698" i="9" l="1"/>
  <c r="B697" i="9"/>
  <c r="A699" i="9" l="1"/>
  <c r="B698" i="9"/>
  <c r="A700" i="9" l="1"/>
  <c r="B699" i="9"/>
  <c r="A701" i="9" l="1"/>
  <c r="B700" i="9"/>
  <c r="B701" i="9" l="1"/>
  <c r="A702" i="9"/>
  <c r="A703" i="9" l="1"/>
  <c r="B702" i="9"/>
  <c r="B703" i="9" l="1"/>
  <c r="A704" i="9"/>
  <c r="A705" i="9" l="1"/>
  <c r="B704" i="9"/>
  <c r="B705" i="9" l="1"/>
  <c r="A706" i="9"/>
  <c r="A707" i="9" l="1"/>
  <c r="B706" i="9"/>
  <c r="A708" i="9" l="1"/>
  <c r="B707" i="9"/>
  <c r="A709" i="9" l="1"/>
  <c r="B708" i="9"/>
  <c r="B709" i="9" l="1"/>
  <c r="A710" i="9"/>
  <c r="B710" i="9" l="1"/>
  <c r="A711" i="9"/>
  <c r="A712" i="9" l="1"/>
  <c r="B711" i="9"/>
  <c r="A713" i="9" l="1"/>
  <c r="B712" i="9"/>
  <c r="B713" i="9" l="1"/>
  <c r="A714" i="9"/>
  <c r="A715" i="9" l="1"/>
  <c r="B714" i="9"/>
  <c r="A716" i="9" l="1"/>
  <c r="B715" i="9"/>
  <c r="B716" i="9" l="1"/>
  <c r="A717" i="9"/>
  <c r="B717" i="9" l="1"/>
  <c r="A718" i="9"/>
  <c r="A719" i="9" l="1"/>
  <c r="B718" i="9"/>
  <c r="A720" i="9" l="1"/>
  <c r="B719" i="9"/>
  <c r="A721" i="9" l="1"/>
  <c r="B720" i="9"/>
  <c r="A722" i="9" l="1"/>
  <c r="B721" i="9"/>
  <c r="A723" i="9" l="1"/>
  <c r="B722" i="9"/>
  <c r="A724" i="9" l="1"/>
  <c r="B723" i="9"/>
  <c r="B724" i="9" l="1"/>
  <c r="A725" i="9"/>
  <c r="A726" i="9" l="1"/>
  <c r="B725" i="9"/>
  <c r="A727" i="9" l="1"/>
  <c r="B726" i="9"/>
  <c r="A728" i="9" l="1"/>
  <c r="B727" i="9"/>
  <c r="B728" i="9" l="1"/>
  <c r="A729" i="9"/>
  <c r="A730" i="9" l="1"/>
  <c r="B729" i="9"/>
  <c r="A731" i="9" l="1"/>
  <c r="B730" i="9"/>
  <c r="B731" i="9" l="1"/>
  <c r="A732" i="9"/>
  <c r="B732" i="9" l="1"/>
  <c r="A733" i="9"/>
  <c r="A734" i="9" l="1"/>
  <c r="B733" i="9"/>
  <c r="A735" i="9" l="1"/>
  <c r="B734" i="9"/>
  <c r="A736" i="9" l="1"/>
  <c r="B735" i="9"/>
  <c r="A737" i="9" l="1"/>
  <c r="B736" i="9"/>
  <c r="A738" i="9" l="1"/>
  <c r="B737" i="9"/>
  <c r="A739" i="9" l="1"/>
  <c r="B738" i="9"/>
  <c r="A740" i="9" l="1"/>
  <c r="B739" i="9"/>
  <c r="A741" i="9" l="1"/>
  <c r="B740" i="9"/>
  <c r="A742" i="9" l="1"/>
  <c r="B741" i="9"/>
  <c r="A743" i="9" l="1"/>
  <c r="B742" i="9"/>
  <c r="A744" i="9" l="1"/>
  <c r="B743" i="9"/>
  <c r="A745" i="9" l="1"/>
  <c r="B744" i="9"/>
  <c r="A746" i="9" l="1"/>
  <c r="B745" i="9"/>
  <c r="A747" i="9" l="1"/>
  <c r="B746" i="9"/>
  <c r="B747" i="9" l="1"/>
  <c r="A748" i="9"/>
  <c r="A749" i="9" l="1"/>
  <c r="B748" i="9"/>
  <c r="A750" i="9" l="1"/>
  <c r="B749" i="9"/>
  <c r="A751" i="9" l="1"/>
  <c r="B750" i="9"/>
  <c r="A752" i="9" l="1"/>
  <c r="B751" i="9"/>
  <c r="A753" i="9" l="1"/>
  <c r="B752" i="9"/>
  <c r="B753" i="9" l="1"/>
  <c r="A754" i="9"/>
  <c r="B754" i="9" l="1"/>
  <c r="A755" i="9"/>
  <c r="A756" i="9" l="1"/>
  <c r="B755" i="9"/>
  <c r="B756" i="9" l="1"/>
  <c r="A757" i="9"/>
  <c r="A758" i="9" l="1"/>
  <c r="B757" i="9"/>
  <c r="B758" i="9" l="1"/>
  <c r="A759" i="9"/>
  <c r="A760" i="9" l="1"/>
  <c r="B759" i="9"/>
  <c r="A761" i="9" l="1"/>
  <c r="B760" i="9"/>
  <c r="A762" i="9" l="1"/>
  <c r="B761" i="9"/>
  <c r="A763" i="9" l="1"/>
  <c r="B762" i="9"/>
  <c r="A764" i="9" l="1"/>
  <c r="B763" i="9"/>
  <c r="A765" i="9" l="1"/>
  <c r="B764" i="9"/>
  <c r="A766" i="9" l="1"/>
  <c r="B765" i="9"/>
  <c r="A767" i="9" l="1"/>
  <c r="B766" i="9"/>
  <c r="A768" i="9" l="1"/>
  <c r="B767" i="9"/>
  <c r="A769" i="9" l="1"/>
  <c r="B768" i="9"/>
  <c r="B769" i="9" l="1"/>
  <c r="A770" i="9"/>
  <c r="A771" i="9" l="1"/>
  <c r="B770" i="9"/>
  <c r="B771" i="9" l="1"/>
  <c r="A772" i="9"/>
  <c r="A773" i="9" l="1"/>
  <c r="B772" i="9"/>
  <c r="A774" i="9" l="1"/>
  <c r="B773" i="9"/>
  <c r="A775" i="9" l="1"/>
  <c r="B774" i="9"/>
  <c r="A776" i="9" l="1"/>
  <c r="B775" i="9"/>
  <c r="A777" i="9" l="1"/>
  <c r="B776" i="9"/>
  <c r="A778" i="9" l="1"/>
  <c r="B777" i="9"/>
  <c r="A779" i="9" l="1"/>
  <c r="B778" i="9"/>
  <c r="A780" i="9" l="1"/>
  <c r="B779" i="9"/>
  <c r="A781" i="9" l="1"/>
  <c r="B780" i="9"/>
  <c r="A782" i="9" l="1"/>
  <c r="B781" i="9"/>
  <c r="A783" i="9" l="1"/>
  <c r="B782" i="9"/>
  <c r="A784" i="9" l="1"/>
  <c r="B783" i="9"/>
  <c r="A785" i="9" l="1"/>
  <c r="B784" i="9"/>
  <c r="A786" i="9" l="1"/>
  <c r="B785" i="9"/>
  <c r="A787" i="9" l="1"/>
  <c r="B786" i="9"/>
  <c r="A788" i="9" l="1"/>
  <c r="B787" i="9"/>
  <c r="B788" i="9" l="1"/>
  <c r="A789" i="9"/>
  <c r="A790" i="9" l="1"/>
  <c r="B789" i="9"/>
  <c r="B790" i="9" l="1"/>
  <c r="A791" i="9"/>
  <c r="A792" i="9" l="1"/>
  <c r="B791" i="9"/>
  <c r="B792" i="9" l="1"/>
  <c r="A793" i="9"/>
  <c r="A794" i="9" l="1"/>
  <c r="B793" i="9"/>
  <c r="A795" i="9" l="1"/>
  <c r="B794" i="9"/>
  <c r="B795" i="9" l="1"/>
  <c r="A796" i="9"/>
  <c r="B796" i="9" l="1"/>
  <c r="A797" i="9"/>
  <c r="B797" i="9" l="1"/>
  <c r="A798" i="9"/>
  <c r="B798" i="9" l="1"/>
  <c r="A799" i="9"/>
  <c r="A800" i="9" l="1"/>
  <c r="B799" i="9"/>
  <c r="A801" i="9" l="1"/>
  <c r="B800" i="9"/>
  <c r="B801" i="9" l="1"/>
  <c r="A802" i="9"/>
  <c r="A803" i="9" l="1"/>
  <c r="B802" i="9"/>
  <c r="B803" i="9" l="1"/>
  <c r="A804" i="9"/>
  <c r="A805" i="9" l="1"/>
  <c r="B804" i="9"/>
  <c r="K79" i="2"/>
  <c r="K79" i="13"/>
  <c r="K79" i="5"/>
  <c r="N79" i="14"/>
  <c r="N79" i="4"/>
  <c r="K79" i="4"/>
  <c r="N79" i="13"/>
  <c r="K79" i="14"/>
  <c r="N79" i="5"/>
  <c r="N79" i="2"/>
  <c r="K80" i="14" l="1"/>
  <c r="K80" i="13"/>
  <c r="K80" i="5"/>
  <c r="K80" i="4"/>
  <c r="E93" i="16"/>
  <c r="K91" i="20"/>
  <c r="D93" i="16"/>
  <c r="H91" i="20"/>
  <c r="B93" i="16"/>
  <c r="K80" i="2"/>
  <c r="B91" i="20"/>
  <c r="K79" i="6"/>
  <c r="N80" i="14"/>
  <c r="O91" i="20"/>
  <c r="O101" i="20" s="1"/>
  <c r="F93" i="16"/>
  <c r="N91" i="20"/>
  <c r="L91" i="20"/>
  <c r="L101" i="20" s="1"/>
  <c r="N80" i="13"/>
  <c r="E91" i="20"/>
  <c r="C93" i="16"/>
  <c r="N80" i="4"/>
  <c r="F91" i="20"/>
  <c r="F101" i="20" s="1"/>
  <c r="C91" i="20"/>
  <c r="C101" i="20" s="1"/>
  <c r="N79" i="6"/>
  <c r="N80" i="6" s="1"/>
  <c r="N80" i="2"/>
  <c r="I91" i="20"/>
  <c r="I101" i="20" s="1"/>
  <c r="N80" i="5"/>
  <c r="B805" i="9"/>
  <c r="K92" i="20" l="1"/>
  <c r="E94" i="16"/>
  <c r="N92" i="20"/>
  <c r="F94" i="16"/>
  <c r="E92" i="20"/>
  <c r="C94" i="16"/>
  <c r="D94" i="16"/>
  <c r="H92" i="20"/>
  <c r="R91" i="20"/>
  <c r="R101" i="20" s="1"/>
  <c r="N87" i="14"/>
  <c r="O102" i="20" s="1"/>
  <c r="N90" i="14"/>
  <c r="O92" i="20"/>
  <c r="K80" i="6"/>
  <c r="A69" i="18"/>
  <c r="U69" i="18" s="1"/>
  <c r="N87" i="5"/>
  <c r="I102" i="20" s="1"/>
  <c r="N90" i="5"/>
  <c r="I92" i="20"/>
  <c r="Q91" i="20"/>
  <c r="N87" i="4"/>
  <c r="F102" i="20" s="1"/>
  <c r="N90" i="4"/>
  <c r="F92" i="20"/>
  <c r="N90" i="13"/>
  <c r="L92" i="20"/>
  <c r="K84" i="2"/>
  <c r="B94" i="16"/>
  <c r="K84" i="4"/>
  <c r="B92" i="20"/>
  <c r="K84" i="5"/>
  <c r="K84" i="14"/>
  <c r="K84" i="13"/>
  <c r="F91" i="5"/>
  <c r="N91" i="13"/>
  <c r="L106" i="20" s="1"/>
  <c r="F91" i="4"/>
  <c r="G87" i="13"/>
  <c r="G87" i="2"/>
  <c r="F95" i="14"/>
  <c r="C92" i="20"/>
  <c r="N84" i="2"/>
  <c r="N91" i="5"/>
  <c r="I106" i="20" s="1"/>
  <c r="G88" i="2"/>
  <c r="G94" i="13"/>
  <c r="F91" i="14"/>
  <c r="F91" i="2"/>
  <c r="N92" i="2"/>
  <c r="L87" i="2"/>
  <c r="F95" i="5"/>
  <c r="G93" i="14"/>
  <c r="G90" i="13"/>
  <c r="G94" i="14"/>
  <c r="F95" i="13"/>
  <c r="N84" i="14"/>
  <c r="F92" i="14"/>
  <c r="L92" i="2"/>
  <c r="G87" i="5"/>
  <c r="N92" i="4"/>
  <c r="F107" i="20" s="1"/>
  <c r="G88" i="13"/>
  <c r="G94" i="5"/>
  <c r="G93" i="2"/>
  <c r="G89" i="13"/>
  <c r="G88" i="4"/>
  <c r="G88" i="14"/>
  <c r="G93" i="4"/>
  <c r="F92" i="13"/>
  <c r="N92" i="13"/>
  <c r="L107" i="20" s="1"/>
  <c r="G88" i="5"/>
  <c r="N91" i="4"/>
  <c r="F106" i="20" s="1"/>
  <c r="N90" i="2"/>
  <c r="G94" i="4"/>
  <c r="N84" i="5"/>
  <c r="N84" i="4"/>
  <c r="F92" i="5"/>
  <c r="N92" i="14"/>
  <c r="O107" i="20" s="1"/>
  <c r="G87" i="4"/>
  <c r="N91" i="2"/>
  <c r="N93" i="2" s="1"/>
  <c r="F95" i="4"/>
  <c r="G94" i="2"/>
  <c r="G90" i="5"/>
  <c r="G90" i="14"/>
  <c r="G89" i="5"/>
  <c r="N92" i="5"/>
  <c r="I107" i="20" s="1"/>
  <c r="G89" i="14"/>
  <c r="G90" i="4"/>
  <c r="N84" i="13"/>
  <c r="F91" i="13"/>
  <c r="G87" i="14"/>
  <c r="N87" i="2"/>
  <c r="G89" i="2"/>
  <c r="G93" i="5"/>
  <c r="N91" i="14"/>
  <c r="O106" i="20" s="1"/>
  <c r="G90" i="2"/>
  <c r="F95" i="2"/>
  <c r="L92" i="4"/>
  <c r="G89" i="4"/>
  <c r="G93" i="13"/>
  <c r="A79" i="18"/>
  <c r="G93" i="16"/>
  <c r="A78" i="18" s="1"/>
  <c r="U78" i="18" s="1"/>
  <c r="F87" i="6"/>
  <c r="F88" i="6"/>
  <c r="F84" i="6"/>
  <c r="F86" i="6"/>
  <c r="F90" i="6"/>
  <c r="F89" i="6"/>
  <c r="F85" i="6"/>
  <c r="P92" i="14" l="1"/>
  <c r="P87" i="14"/>
  <c r="P92" i="13"/>
  <c r="P87" i="13"/>
  <c r="N93" i="14"/>
  <c r="O108" i="20" s="1"/>
  <c r="P87" i="5"/>
  <c r="P92" i="5"/>
  <c r="P87" i="4"/>
  <c r="P92" i="4"/>
  <c r="N93" i="5"/>
  <c r="I108" i="20" s="1"/>
  <c r="Q92" i="20"/>
  <c r="N93" i="13"/>
  <c r="L108" i="20" s="1"/>
  <c r="P92" i="2"/>
  <c r="R107" i="20" s="1"/>
  <c r="N93" i="4"/>
  <c r="F108" i="20" s="1"/>
  <c r="G94" i="16"/>
  <c r="I105" i="20"/>
  <c r="N94" i="5"/>
  <c r="A4" i="20"/>
  <c r="A4" i="16"/>
  <c r="L105" i="20"/>
  <c r="N94" i="13"/>
  <c r="R92" i="20"/>
  <c r="C102" i="20"/>
  <c r="P87" i="2"/>
  <c r="R102" i="20" s="1"/>
  <c r="C107" i="20"/>
  <c r="N94" i="4"/>
  <c r="F105" i="20"/>
  <c r="N95" i="2"/>
  <c r="C108" i="20"/>
  <c r="C105" i="20"/>
  <c r="N94" i="2"/>
  <c r="P90" i="5"/>
  <c r="P90" i="13"/>
  <c r="P90" i="14"/>
  <c r="N86" i="6"/>
  <c r="P90" i="2"/>
  <c r="P90" i="4"/>
  <c r="N94" i="14"/>
  <c r="O105" i="20"/>
  <c r="N87" i="6"/>
  <c r="P91" i="13"/>
  <c r="C106" i="20"/>
  <c r="P91" i="14"/>
  <c r="P91" i="2"/>
  <c r="R106" i="20" s="1"/>
  <c r="P91" i="4"/>
  <c r="P91" i="5"/>
  <c r="N95" i="14" l="1"/>
  <c r="N95" i="5"/>
  <c r="N95" i="13"/>
  <c r="P93" i="2"/>
  <c r="R108" i="20" s="1"/>
  <c r="P93" i="14"/>
  <c r="P95" i="14" s="1"/>
  <c r="N95" i="4"/>
  <c r="P93" i="13"/>
  <c r="P95" i="13" s="1"/>
  <c r="P93" i="5"/>
  <c r="P95" i="5" s="1"/>
  <c r="P93" i="4"/>
  <c r="P95" i="4" s="1"/>
  <c r="N88" i="6"/>
  <c r="N90" i="6" s="1"/>
  <c r="N89" i="6"/>
  <c r="P94" i="4"/>
  <c r="C110" i="20"/>
  <c r="F110" i="20"/>
  <c r="F109" i="20"/>
  <c r="L109" i="20"/>
  <c r="L110" i="20"/>
  <c r="P94" i="2"/>
  <c r="R105" i="20"/>
  <c r="P95" i="2"/>
  <c r="P94" i="13"/>
  <c r="P94" i="5"/>
  <c r="P94" i="14"/>
  <c r="O110" i="20"/>
  <c r="O109" i="20"/>
  <c r="C109" i="20"/>
  <c r="I110" i="20"/>
  <c r="I109" i="20"/>
  <c r="R109" i="20" l="1"/>
  <c r="R110" i="20"/>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tc={A2527ABA-9466-41BE-9F05-D44B4C4383C8}</author>
    <author>tc={0B09678B-A176-4B8D-AFA2-877A2840D6AA}</author>
    <author>tc={EA5851B8-BCE4-4B5C-8670-C55D6E821CC3}</author>
  </authors>
  <commentList>
    <comment ref="A94" authorId="0" shapeId="0" xr:uid="{A2527ABA-9466-41BE-9F05-D44B4C4383C8}">
      <text>
        <t>[Threaded comment]
Your version of Excel allows you to read this threaded comment; however, any edits to it will get removed if the file is opened in a newer version of Excel. Learn more: https://go.microsoft.com/fwlink/?linkid=870924
Comment:
    This might need to be manually calculated if cost-sharing 12-month faculty salaries, or otherwise deviating for general expected categories.</t>
      </text>
    </comment>
    <comment ref="A95" authorId="1" shapeId="0" xr:uid="{0B09678B-A176-4B8D-AFA2-877A2840D6AA}">
      <text>
        <t>[Threaded comment]
Your version of Excel allows you to read this threaded comment; however, any edits to it will get removed if the file is opened in a newer version of Excel. Learn more: https://go.microsoft.com/fwlink/?linkid=870924
Comment:
    This might need to be manually calculated if cost-sharing 12-month faculty salaries, or otherwise deviating for general expected categories.</t>
      </text>
    </comment>
    <comment ref="A96" authorId="2" shapeId="0" xr:uid="{EA5851B8-BCE4-4B5C-8670-C55D6E821CC3}">
      <text>
        <t>[Threaded comment]
Your version of Excel allows you to read this threaded comment; however, any edits to it will get removed if the file is opened in a newer version of Excel. Learn more: https://go.microsoft.com/fwlink/?linkid=870924
Comment:
    This must always be a whole number; you cannot have partial quarters.</t>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tc={6369CA53-D26D-4B95-A046-21B96843330C}</author>
    <author>tc={8981A012-1D59-411A-9FB0-DB0AE400F7C3}</author>
    <author>tc={FC1E02BD-51D0-43D4-AAA3-AE2305412672}</author>
    <author>tc={4DFCB001-A623-4D29-B8A5-495473D63A06}</author>
    <author>tc={7527E054-8A64-467E-958C-6E4C9FC70413}</author>
    <author>tc={DBA35FB5-2C01-4580-BCB4-109652B40B42}</author>
    <author>tc={C818A039-517C-4256-B74E-E9C063CB2E94}</author>
    <author>tc={6C8C2D62-1CF6-4290-B405-C8F725DB4E20}</author>
    <author>tc={6C8C2D62-1CF6-4291-B405-C8F725DB4E20}</author>
    <author>tc={6C8C2D62-1CF6-4292-B405-C8F725DB4E20}</author>
    <author>tc={6C8C2D62-1CF6-4293-B405-C8F725DB4E20}</author>
    <author>tc={6C8C2D62-1CF6-4294-B405-C8F725DB4E20}</author>
    <author>tc={6CF4F895-08BC-48A6-B001-775D240FA0AC}</author>
    <author>tc={6C8C2D62-1CF6-4295-B405-C8F725DB4E20}</author>
    <author>tc={293FB106-48BE-4B27-A4E4-CA40AC724B19}</author>
    <author>tc={3D6D8F24-D98F-4C06-BDD9-81C3C3ABF513}</author>
    <author>tc={6C8C2D62-1CF6-4296-B405-C8F725DB4E20}</author>
    <author>tc={6C8C2D62-1CF6-4297-B405-C8F725DB4E20}</author>
    <author>tc={C8309D82-3090-4E9D-96F9-328DE2236420}</author>
    <author>tc={173F25F3-0814-47E6-80EB-005C49D8B573}</author>
    <author>tc={81C83F75-A71A-493D-8502-E7A14E5FA519}</author>
    <author>tc={EA01ED2B-3194-4675-A59A-426EC969B3E0}</author>
  </authors>
  <commentList>
    <comment ref="K8" authorId="0" shapeId="0" xr:uid="{00000000-0006-0000-0200-000001000000}">
      <text>
        <t>[Threaded comment]
Your version of Excel allows you to read this threaded comment; however, any edits to it will get removed if the file is opened in a newer version of Excel. Learn more: https://go.microsoft.com/fwlink/?linkid=870924
Comment:
    You can change this to any date (i.e., mid-month) by removing the data validation for this cell.</t>
      </text>
    </comment>
    <comment ref="K10" authorId="1" shapeId="0" xr:uid="{00000000-0006-0000-0200-000002000000}">
      <text>
        <t xml:space="preserve">[Threaded comment]
Your version of Excel allows you to read this threaded comment; however, any edits to it will get removed if the file is opened in a newer version of Excel. Learn more: https://go.microsoft.com/fwlink/?linkid=870924
Comment:
    If the field says #VALUE!, go to Tools &gt; Add-Ins and click on Analysis Toolpak then reselect Budget Year Start </t>
      </text>
    </comment>
    <comment ref="M14" authorId="2" shapeId="0" xr:uid="{00000000-0006-0000-0200-000003000000}">
      <text>
        <t>[Threaded comment]
Your version of Excel allows you to read this threaded comment; however, any edits to it will get removed if the file is opened in a newer version of Excel. Learn more: https://go.microsoft.com/fwlink/?linkid=870924
Comment:
    Cost share effort can only be committed for academic (if 9 month) or calendar (if 10, 11, or 12 month) months.</t>
      </text>
    </comment>
    <comment ref="B15" authorId="3" shapeId="0" xr:uid="{00000000-0006-0000-0200-000004000000}">
      <text>
        <t>[Threaded comment]
Your version of Excel allows you to read this threaded comment; however, any edits to it will get removed if the file is opened in a newer version of Excel. Learn more: https://go.microsoft.com/fwlink/?linkid=870924
Comment:
    Type PI name here.  It will automatically copy to all other budget pages.</t>
      </text>
    </comment>
    <comment ref="L15" authorId="4" shapeId="0" xr:uid="{00000000-0006-0000-0200-000005000000}">
      <text>
        <t>[Threaded comment]
Your version of Excel allows you to read this threaded comment; however, any edits to it will get removed if the file is opened in a newer version of Excel. Learn more: https://go.microsoft.com/fwlink/?linkid=870924
Comment:
    Auto calculates fringe by personnel salary entered to left, based on project start date entered above.</t>
      </text>
    </comment>
    <comment ref="H32" authorId="5" shapeId="0" xr:uid="{00000000-0006-0000-0200-000006000000}">
      <text>
        <t>[Threaded comment]
Your version of Excel allows you to read this threaded comment; however, any edits to it will get removed if the file is opened in a newer version of Excel. Learn more: https://go.microsoft.com/fwlink/?linkid=870924
Comment:
    Enter number person months here, based on a standard 12-month appointment.</t>
      </text>
    </comment>
    <comment ref="P32" authorId="6" shapeId="0" xr:uid="{00000000-0006-0000-0200-000007000000}">
      <text>
        <t>[Threaded comment]
Your version of Excel allows you to read this threaded comment; however, any edits to it will get removed if the file is opened in a newer version of Excel. Learn more: https://go.microsoft.com/fwlink/?linkid=870924
Comment:
    Northwestern minimum for salary. Update if higher.</t>
      </text>
    </comment>
    <comment ref="H33" authorId="7" shapeId="0" xr:uid="{00000000-0006-0000-0200-000008000000}">
      <text>
        <t>[Threaded comment]
Your version of Excel allows you to read this threaded comment; however, any edits to it will get removed if the file is opened in a newer version of Excel. Learn more: https://go.microsoft.com/fwlink/?linkid=870924
Comment:
    Enter number person months here, based on a standard 12-month appointment.</t>
      </text>
    </comment>
    <comment ref="H34" authorId="8" shapeId="0" xr:uid="{00000000-0006-0000-0200-000009000000}">
      <text>
        <t>[Threaded comment]
Your version of Excel allows you to read this threaded comment; however, any edits to it will get removed if the file is opened in a newer version of Excel. Learn more: https://go.microsoft.com/fwlink/?linkid=870924
Comment:
    Enter number person months here, based on a standard 12-month appointment.</t>
      </text>
    </comment>
    <comment ref="H35" authorId="9" shapeId="0" xr:uid="{00000000-0006-0000-0200-00000A000000}">
      <text>
        <t>[Threaded comment]
Your version of Excel allows you to read this threaded comment; however, any edits to it will get removed if the file is opened in a newer version of Excel. Learn more: https://go.microsoft.com/fwlink/?linkid=870924
Comment:
    Enter number person months here, based on a standard 12-month appointment.</t>
      </text>
    </comment>
    <comment ref="H36" authorId="10" shapeId="0" xr:uid="{00000000-0006-0000-0200-00000B000000}">
      <text>
        <t>[Threaded comment]
Your version of Excel allows you to read this threaded comment; however, any edits to it will get removed if the file is opened in a newer version of Excel. Learn more: https://go.microsoft.com/fwlink/?linkid=870924
Comment:
    Enter number person months here, based on a standard 12-month appointment.</t>
      </text>
    </comment>
    <comment ref="H37" authorId="11" shapeId="0" xr:uid="{00000000-0006-0000-0200-00000C000000}">
      <text>
        <t>[Threaded comment]
Your version of Excel allows you to read this threaded comment; however, any edits to it will get removed if the file is opened in a newer version of Excel. Learn more: https://go.microsoft.com/fwlink/?linkid=870924
Comment:
    Enter number person months here, based on a standard 12-month appointment.</t>
      </text>
    </comment>
    <comment ref="B38" authorId="12" shapeId="0" xr:uid="{00000000-0006-0000-0200-00000D000000}">
      <text>
        <t>[Threaded comment]
Your version of Excel allows you to read this threaded comment; however, any edits to it will get removed if the file is opened in a newer version of Excel. Learn more: https://go.microsoft.com/fwlink/?linkid=870924
Comment:
    Insert number of graduate students here.
This will drive the tuition cost to grant, in the Other Direct Costs section.</t>
      </text>
    </comment>
    <comment ref="H38" authorId="13" shapeId="0" xr:uid="{00000000-0006-0000-0200-00000E000000}">
      <text>
        <t>[Threaded comment]
Your version of Excel allows you to read this threaded comment; however, any edits to it will get removed if the file is opened in a newer version of Excel. Learn more: https://go.microsoft.com/fwlink/?linkid=870924
Comment:
    Enter number person months here, based on a standard 12-month appointment.</t>
      </text>
    </comment>
    <comment ref="L38" authorId="14" shapeId="0" xr:uid="{00000000-0006-0000-0200-00000F000000}">
      <text>
        <t>[Threaded comment]
Your version of Excel allows you to read this threaded comment; however, any edits to it will get removed if the file is opened in a newer version of Excel. Learn more: https://go.microsoft.com/fwlink/?linkid=870924
Comment:
    This field is calculated with graduate student fringe rate.</t>
      </text>
    </comment>
    <comment ref="P38" authorId="15" shapeId="0" xr:uid="{3D6D8F24-D98F-4C06-BDD9-81C3C3ABF513}">
      <text>
        <t>[Threaded comment]
Your version of Excel allows you to read this threaded comment; however, any edits to it will get removed if the file is opened in a newer version of Excel. Learn more: https://go.microsoft.com/fwlink/?linkid=870924
Comment:
    Per TGS minimum rates: $2,848 per month for FY22 and $2,933 per month for FY23. Assume a 3% increase for outyears.</t>
      </text>
    </comment>
    <comment ref="H39" authorId="16" shapeId="0" xr:uid="{00000000-0006-0000-0200-000011000000}">
      <text>
        <t>[Threaded comment]
Your version of Excel allows you to read this threaded comment; however, any edits to it will get removed if the file is opened in a newer version of Excel. Learn more: https://go.microsoft.com/fwlink/?linkid=870924
Comment:
    Enter number person months here, based on a standard 12-month appointment.</t>
      </text>
    </comment>
    <comment ref="H40" authorId="17" shapeId="0" xr:uid="{00000000-0006-0000-0200-000012000000}">
      <text>
        <t>[Threaded comment]
Your version of Excel allows you to read this threaded comment; however, any edits to it will get removed if the file is opened in a newer version of Excel. Learn more: https://go.microsoft.com/fwlink/?linkid=870924
Comment:
    Enter number person months here, based on a standard 12-month appointment.</t>
      </text>
    </comment>
    <comment ref="L40" authorId="18" shapeId="0" xr:uid="{00000000-0006-0000-0200-000013000000}">
      <text>
        <t>[Threaded comment]
Your version of Excel allows you to read this threaded comment; however, any edits to it will get removed if the file is opened in a newer version of Excel. Learn more: https://go.microsoft.com/fwlink/?linkid=870924
Comment:
    This field is calculated with statutory fringe rate.</t>
      </text>
    </comment>
    <comment ref="C60" authorId="19" shapeId="0" xr:uid="{00000000-0006-0000-0200-000014000000}">
      <text>
        <t>[Threaded comment]
Your version of Excel allows you to read this threaded comment; however, any edits to it will get removed if the file is opened in a newer version of Excel. Learn more: https://go.microsoft.com/fwlink/?linkid=870924
Comment:
    Example: Laboratory services, human subject fees, animal subject costs</t>
      </text>
    </comment>
    <comment ref="C61" authorId="20" shapeId="0" xr:uid="{00000000-0006-0000-0200-000015000000}">
      <text>
        <t>[Threaded comment]
Your version of Excel allows you to read this threaded comment; however, any edits to it will get removed if the file is opened in a newer version of Excel. Learn more: https://go.microsoft.com/fwlink/?linkid=870924
Comment:
    Example: Participant support costs</t>
      </text>
    </comment>
    <comment ref="G77" authorId="21" shapeId="0" xr:uid="{00000000-0006-0000-0200-000016000000}">
      <text>
        <t>[Threaded comment]
Your version of Excel allows you to read this threaded comment; however, any edits to it will get removed if the file is opened in a newer version of Excel. Learn more: https://go.microsoft.com/fwlink/?linkid=870924
Comment:
    Listed rate is for the BP's starting Month, F&amp;A is calculated using a blended rate. Unless manually modified.</t>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tc={C2574E76-ECC7-4B40-829C-703FD11191FE}</author>
    <author>tc={14AA5514-A76C-4AF1-ACD7-418E35426D6F}</author>
    <author>tc={B1CEFA16-FC0F-4D85-94C6-AD7862EB6F84}</author>
    <author>tc={2DB2304C-B95C-427E-8EA3-337D3D66F91D}</author>
    <author>tc={2DB2304C-B95C-427F-8EA3-337D3D66F91D}</author>
    <author>tc={2DB2304C-B95C-4280-8EA3-337D3D66F91D}</author>
    <author>tc={2DB2304C-B95C-4281-8EA3-337D3D66F91D}</author>
    <author>tc={2DB2304C-B95C-4282-8EA3-337D3D66F91D}</author>
    <author>tc={2DB2304C-B95C-4283-8EA3-337D3D66F91D}</author>
    <author>tc={2DB2304C-B95C-4284-8EA3-337D3D66F91D}</author>
    <author>tc={2DB2304C-B95C-4285-8EA3-337D3D66F91D}</author>
    <author>tc={2DB2304C-B95C-4286-8EA3-337D3D66F91D}</author>
    <author>tc={2DB2304C-B95C-4287-8EA3-337D3D66F91D}</author>
    <author>tc={2DB2304C-B95C-4288-8EA3-337D3D66F91D}</author>
    <author>tc={2DB2304C-B95C-4289-8EA3-337D3D66F91D}</author>
    <author>tc={2DB2304C-B95C-428A-8EA3-337D3D66F91D}</author>
    <author>tc={2DB2304C-B95C-428B-8EA3-337D3D66F91D}</author>
    <author>tc={2DB2304C-B95C-428C-8EA3-337D3D66F91D}</author>
    <author>tc={1AAA62DA-7E97-400D-8517-CDCB601DBAE6}</author>
  </authors>
  <commentList>
    <comment ref="N2" authorId="0" shapeId="0" xr:uid="{00000000-0006-0000-0A00-000001000000}">
      <text>
        <t>[Threaded comment]
Your version of Excel allows you to read this threaded comment; however, any edits to it will get removed if the file is opened in a newer version of Excel. Learn more: https://go.microsoft.com/fwlink/?linkid=870924
Comment:
    Enter # of days here.</t>
      </text>
    </comment>
    <comment ref="N3" authorId="1" shapeId="0" xr:uid="{00000000-0006-0000-0A00-000002000000}">
      <text>
        <t>[Threaded comment]
Your version of Excel allows you to read this threaded comment; however, any edits to it will get removed if the file is opened in a newer version of Excel. Learn more: https://go.microsoft.com/fwlink/?linkid=870924
Comment:
    Enter # of travelers here.</t>
      </text>
    </comment>
    <comment ref="N4" authorId="2" shapeId="0" xr:uid="{00000000-0006-0000-0A00-000003000000}">
      <text>
        <t>[Threaded comment]
Your version of Excel allows you to read this threaded comment; however, any edits to it will get removed if the file is opened in a newer version of Excel. Learn more: https://go.microsoft.com/fwlink/?linkid=870924
Comment:
    Enter cost-share percentage here.</t>
      </text>
    </comment>
    <comment ref="I9" authorId="3" shapeId="0" xr:uid="{00000000-0006-0000-0A00-000004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J9" authorId="4" shapeId="0" xr:uid="{00000000-0006-0000-0A00-000005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K9" authorId="5" shapeId="0" xr:uid="{00000000-0006-0000-0A00-000006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I10" authorId="6" shapeId="0" xr:uid="{00000000-0006-0000-0A00-000007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J10" authorId="7" shapeId="0" xr:uid="{00000000-0006-0000-0A00-000008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K10" authorId="8" shapeId="0" xr:uid="{00000000-0006-0000-0A00-000009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I11" authorId="9" shapeId="0" xr:uid="{00000000-0006-0000-0A00-00000A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J11" authorId="10" shapeId="0" xr:uid="{00000000-0006-0000-0A00-00000B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K11" authorId="11" shapeId="0" xr:uid="{00000000-0006-0000-0A00-00000C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I12" authorId="12" shapeId="0" xr:uid="{00000000-0006-0000-0A00-00000D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J12" authorId="13" shapeId="0" xr:uid="{00000000-0006-0000-0A00-00000E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K12" authorId="14" shapeId="0" xr:uid="{00000000-0006-0000-0A00-00000F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I13" authorId="15" shapeId="0" xr:uid="{00000000-0006-0000-0A00-000010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J13" authorId="16" shapeId="0" xr:uid="{00000000-0006-0000-0A00-000011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K13" authorId="17" shapeId="0" xr:uid="{00000000-0006-0000-0A00-000012000000}">
      <text>
        <t>[Threaded comment]
Your version of Excel allows you to read this threaded comment; however, any edits to it will get removed if the file is opened in a newer version of Excel. Learn more: https://go.microsoft.com/fwlink/?linkid=870924
Comment:
    Enter the identifier here.</t>
      </text>
    </comment>
    <comment ref="H17" authorId="18" shapeId="0" xr:uid="{00000000-0006-0000-0A00-000013000000}">
      <text>
        <t xml:space="preserve">[Threaded comment]
Your version of Excel allows you to read this threaded comment; however, any edits to it will get removed if the file is opened in a newer version of Excel. Learn more: https://go.microsoft.com/fwlink/?linkid=870924
Comment:
    If (domestic) destination is unknown, use these rates for Lodging and M&amp;IE.
</t>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tc={B0425895-DF47-4AAF-8014-7F94219A5AB3}</author>
    <author>tc={9912DD39-F228-4D44-B35E-29A065A6FA9B}</author>
    <author>tc={4144F7DA-1B19-419C-AC48-129DE91EC6D2}</author>
    <author>tc={A02FC428-DB01-4A4F-8FA8-5D1B2511B3DC}</author>
    <author>tc={A23EB8FD-9445-47F3-BFAE-B8A745B02816}</author>
    <author>tc={357B9499-0C55-42C1-A4AD-6E5FA7308C7F}</author>
    <author>tc={FC5707F5-C204-4E6C-A969-32BC2DAC9D48}</author>
    <author>tc={20FFDB19-2A8D-4CD1-A853-78D0E90A84C2}</author>
    <author>tc={70230BEA-0414-40E2-940C-4795E40BC65F}</author>
    <author>tc={45D01AEB-4856-489D-A276-41DC0FF49D19}</author>
    <author>tc={45D01AEB-4856-489E-A276-41DC0FF49D19}</author>
    <author>tc={4804F61B-4433-404E-A0CC-F11D09B237B0}</author>
    <author>tc={14D0C4D4-BD87-4EC5-AE3D-AE7C134BD7AE}</author>
  </authors>
  <commentList>
    <comment ref="J74" authorId="0" shapeId="0" xr:uid="{00000000-0006-0000-0C00-000001000000}">
      <text>
        <t>[Threaded comment]
Your version of Excel allows you to read this threaded comment; however, any edits to it will get removed if the file is opened in a newer version of Excel. Learn more: https://go.microsoft.com/fwlink/?linkid=870924
Comment:
    Rates are actual FY13 benefit rates from 7/30/12 Eugene Sunshine memo.</t>
      </text>
    </comment>
    <comment ref="L74" authorId="1" shapeId="0" xr:uid="{00000000-0006-0000-0C00-000002000000}">
      <text>
        <t>[Threaded comment]
Your version of Excel allows you to read this threaded comment; however, any edits to it will get removed if the file is opened in a newer version of Excel. Learn more: https://go.microsoft.com/fwlink/?linkid=870924
Comment:
    Quarterly rate per TGS 5/17/12.</t>
      </text>
    </comment>
    <comment ref="J86" authorId="2" shapeId="0" xr:uid="{00000000-0006-0000-0C00-000003000000}">
      <text>
        <t>[Threaded comment]
Your version of Excel allows you to read this threaded comment; however, any edits to it will get removed if the file is opened in a newer version of Excel. Learn more: https://go.microsoft.com/fwlink/?linkid=870924
Comment:
    Rates from 7/30/12 Eugene Sunshine memo - projected for FY14-17.</t>
      </text>
    </comment>
    <comment ref="L86" authorId="3" shapeId="0" xr:uid="{00000000-0006-0000-0C00-000004000000}">
      <text>
        <t>[Threaded comment]
Your version of Excel allows you to read this threaded comment; however, any edits to it will get removed if the file is opened in a newer version of Excel. Learn more: https://go.microsoft.com/fwlink/?linkid=870924
Comment:
    Quarterly rate per TGS 4/30/13</t>
      </text>
    </comment>
    <comment ref="L98" authorId="4" shapeId="0" xr:uid="{00000000-0006-0000-0C00-000005000000}">
      <text>
        <t>[Threaded comment]
Your version of Excel allows you to read this threaded comment; however, any edits to it will get removed if the file is opened in a newer version of Excel. Learn more: https://go.microsoft.com/fwlink/?linkid=870924
Comment:
    Quarterly rates per TGS 05/01/2014</t>
      </text>
    </comment>
    <comment ref="L110" authorId="5" shapeId="0" xr:uid="{00000000-0006-0000-0C00-000006000000}">
      <text>
        <t>[Threaded comment]
Your version of Excel allows you to read this threaded comment; however, any edits to it will get removed if the file is opened in a newer version of Excel. Learn more: https://go.microsoft.com/fwlink/?linkid=870924
Comment:
    Quarterly rates per TGS 06/08/2015</t>
      </text>
    </comment>
    <comment ref="L122" authorId="6" shapeId="0" xr:uid="{00000000-0006-0000-0C00-000007000000}">
      <text>
        <t>[Threaded comment]
Your version of Excel allows you to read this threaded comment; however, any edits to it will get removed if the file is opened in a newer version of Excel. Learn more: https://go.microsoft.com/fwlink/?linkid=870924
Comment:
    Quarterly rates per TGS  5/2/2016</t>
      </text>
    </comment>
    <comment ref="L134" authorId="7" shapeId="0" xr:uid="{00000000-0006-0000-0C00-000008000000}">
      <text>
        <t>[Threaded comment]
Your version of Excel allows you to read this threaded comment; however, any edits to it will get removed if the file is opened in a newer version of Excel. Learn more: https://go.microsoft.com/fwlink/?linkid=870924
Comment:
    Quarterly Rate per TGS 5/24/17</t>
      </text>
    </comment>
    <comment ref="L146" authorId="8" shapeId="0" xr:uid="{00000000-0006-0000-0C00-000009000000}">
      <text>
        <t>[Threaded comment]
Your version of Excel allows you to read this threaded comment; however, any edits to it will get removed if the file is opened in a newer version of Excel. Learn more: https://go.microsoft.com/fwlink/?linkid=870924
Comment:
    Quarterly Rate per TGS 5/9/18</t>
      </text>
    </comment>
    <comment ref="L158" authorId="9" shapeId="0" xr:uid="{00000000-0006-0000-0C00-00000A000000}">
      <text>
        <t>[Threaded comment]
Your version of Excel allows you to read this threaded comment; however, any edits to it will get removed if the file is opened in a newer version of Excel. Learn more: https://go.microsoft.com/fwlink/?linkid=870924
Comment:
    Quarter PI Rate per TGS (3/12/19)</t>
      </text>
    </comment>
    <comment ref="L170" authorId="10" shapeId="0" xr:uid="{00000000-0006-0000-0C00-00000B000000}">
      <text>
        <t>[Threaded comment]
Your version of Excel allows you to read this threaded comment; however, any edits to it will get removed if the file is opened in a newer version of Excel. Learn more: https://go.microsoft.com/fwlink/?linkid=870924
Comment:
    Quarter PI Rate per TGS (3/12/19)</t>
      </text>
    </comment>
    <comment ref="L182" authorId="11" shapeId="0" xr:uid="{4804F61B-4433-404E-A0CC-F11D09B237B0}">
      <text>
        <t>[Threaded comment]
Your version of Excel allows you to read this threaded comment; however, any edits to it will get removed if the file is opened in a newer version of Excel. Learn more: https://go.microsoft.com/fwlink/?linkid=870924
Comment:
    Quarter PI Rate per TGS (1/4/21)</t>
      </text>
    </comment>
    <comment ref="L194" authorId="12" shapeId="0" xr:uid="{14D0C4D4-BD87-4EC5-AE3D-AE7C134BD7AE}">
      <text>
        <t>[Threaded comment]
Your version of Excel allows you to read this threaded comment; however, any edits to it will get removed if the file is opened in a newer version of Excel. Learn more: https://go.microsoft.com/fwlink/?linkid=870924
Comment:
    Quarter PI Rate per TGS (1/4/22)</t>
      </text>
    </comment>
  </commentList>
</comments>
</file>

<file path=xl/sharedStrings.xml><?xml version="1.0" encoding="utf-8"?>
<sst xmlns="http://schemas.openxmlformats.org/spreadsheetml/2006/main" count="4502" uniqueCount="955">
  <si>
    <t>OTHER DIRECT COSTS</t>
  </si>
  <si>
    <t>Northwestern University</t>
  </si>
  <si>
    <t>CAL</t>
  </si>
  <si>
    <t>1. (</t>
  </si>
  <si>
    <t>3. (</t>
  </si>
  <si>
    <t>4. (</t>
  </si>
  <si>
    <t>5. (</t>
  </si>
  <si>
    <t>FullFed</t>
  </si>
  <si>
    <t>Full NonFed</t>
  </si>
  <si>
    <t>Statutory</t>
  </si>
  <si>
    <t>TGS (Student)</t>
  </si>
  <si>
    <t>3 month</t>
  </si>
  <si>
    <t>9 month</t>
  </si>
  <si>
    <t>12 month</t>
  </si>
  <si>
    <t>Summer Term</t>
  </si>
  <si>
    <t>Academic Year</t>
  </si>
  <si>
    <t>Calendar Year</t>
  </si>
  <si>
    <t>PM</t>
  </si>
  <si>
    <t>StartDateList</t>
  </si>
  <si>
    <t>EndDateList</t>
  </si>
  <si>
    <t>Tuition cost to grant</t>
  </si>
  <si>
    <t>For the NUCAPT facility rates are hourly and are applied in 0.25 h increments:</t>
  </si>
  <si>
    <t>Instrument</t>
  </si>
  <si>
    <t>LEAP Tomograph (Voltage Pulsing and Laser Pulsing)</t>
  </si>
  <si>
    <t>Metallographic Saw</t>
  </si>
  <si>
    <t>Imago Electropointer</t>
  </si>
  <si>
    <t>Electropolisher</t>
  </si>
  <si>
    <t>PC Workstation (IVAS)</t>
  </si>
  <si>
    <t>General Consultation</t>
  </si>
  <si>
    <t>For the NUANCE facility, instrument charges per hour:</t>
  </si>
  <si>
    <t>For the BIF facility, instrument charges per hour:</t>
  </si>
  <si>
    <t>Rate</t>
  </si>
  <si>
    <t>For the CLaMMP facility:</t>
  </si>
  <si>
    <t>Salary</t>
  </si>
  <si>
    <t>Fringe</t>
  </si>
  <si>
    <t>Requested by Applicant</t>
  </si>
  <si>
    <t>Quarterly</t>
  </si>
  <si>
    <t>Information for SF424</t>
  </si>
  <si>
    <t>Information for R&amp;R Budget</t>
  </si>
  <si>
    <t>Organizational DUNS (Evanston)</t>
  </si>
  <si>
    <t>Legal Name</t>
  </si>
  <si>
    <t>Name of Organization</t>
  </si>
  <si>
    <t>Department Name</t>
  </si>
  <si>
    <t>Indirect Cost Type</t>
  </si>
  <si>
    <t>Office for Sponsored Research</t>
  </si>
  <si>
    <t>Modified Total Direct Cost</t>
  </si>
  <si>
    <t>Division</t>
  </si>
  <si>
    <t>Cognizant Federal Agency</t>
  </si>
  <si>
    <t>Evanston Campus</t>
  </si>
  <si>
    <t>Street 1</t>
  </si>
  <si>
    <t>Indirect Cost Rate Agreement Date</t>
  </si>
  <si>
    <t>Street 2</t>
  </si>
  <si>
    <t>City</t>
  </si>
  <si>
    <t>County</t>
  </si>
  <si>
    <t>Cook</t>
  </si>
  <si>
    <t>State</t>
  </si>
  <si>
    <t>IL</t>
  </si>
  <si>
    <t>Zip</t>
  </si>
  <si>
    <t>Person to be contacted on matters involving this application</t>
  </si>
  <si>
    <t>phone: 847-491-3003</t>
  </si>
  <si>
    <t>fax: 847-491-4800</t>
  </si>
  <si>
    <t>EIN</t>
  </si>
  <si>
    <t>36-2167817 (For NIH: 1362167817A1)</t>
  </si>
  <si>
    <t>Type of Applicant</t>
  </si>
  <si>
    <t>O: Private Institution of Higher Education</t>
  </si>
  <si>
    <t>Areas Affected by the Project</t>
  </si>
  <si>
    <t>Evanston, Cook County, IL</t>
  </si>
  <si>
    <t>Congressional District</t>
  </si>
  <si>
    <t>IL-009</t>
  </si>
  <si>
    <r>
      <t>If non-NIH proposal,</t>
    </r>
    <r>
      <rPr>
        <b/>
        <sz val="10"/>
        <rFont val="Geneva"/>
        <family val="2"/>
      </rPr>
      <t xml:space="preserve"> </t>
    </r>
    <r>
      <rPr>
        <sz val="10"/>
        <rFont val="Geneva"/>
        <family val="2"/>
      </rPr>
      <t>the authorized representative on page 2 should be:</t>
    </r>
  </si>
  <si>
    <t>Division, Field 15</t>
  </si>
  <si>
    <t>Hysitron TriboIndenter</t>
  </si>
  <si>
    <t>non fed</t>
  </si>
  <si>
    <t>fed</t>
  </si>
  <si>
    <t>statutory</t>
  </si>
  <si>
    <t>student</t>
  </si>
  <si>
    <t>For the Genomics Core facility at CGM:</t>
  </si>
  <si>
    <t>Traditional Sequencing</t>
  </si>
  <si>
    <t>DNA Extraction</t>
  </si>
  <si>
    <t>Differential Scanning Calorimeter</t>
  </si>
  <si>
    <t>Fluorescence Polarization</t>
  </si>
  <si>
    <t>Circular Dichroism Spectrometer</t>
  </si>
  <si>
    <t>Fluorescence Plate Reader</t>
  </si>
  <si>
    <t>Dynamic Light Scattering</t>
  </si>
  <si>
    <t>Real Time PCR</t>
  </si>
  <si>
    <t>For the QBIC facility:</t>
  </si>
  <si>
    <t>Services</t>
  </si>
  <si>
    <t>Training</t>
  </si>
  <si>
    <t>Total Senior Personnel Salary</t>
  </si>
  <si>
    <t>Total Senior Personnel Fringe</t>
  </si>
  <si>
    <t>Total Salaries and Wages</t>
  </si>
  <si>
    <t>Total Fringe Benefits</t>
  </si>
  <si>
    <t>Domestic Travel</t>
  </si>
  <si>
    <t>Foreign Travel</t>
  </si>
  <si>
    <t>Total Other Direct Costs</t>
  </si>
  <si>
    <t>Indirect Costs</t>
  </si>
  <si>
    <t>Total Direct and Indirect Costs</t>
  </si>
  <si>
    <t>Total</t>
  </si>
  <si>
    <t>Annual Salary Increase</t>
  </si>
  <si>
    <t>Modified Total Direct Costs (MTDC)</t>
  </si>
  <si>
    <t>Total Salaries, Wages, &amp; Fringe Benefits</t>
  </si>
  <si>
    <t>Department of Health and Human Services (DHHS), Arif Karim, 214/767-3261</t>
  </si>
  <si>
    <t>For the Behavioral Phenotyping Core (BPC):</t>
  </si>
  <si>
    <t>Water Maze</t>
  </si>
  <si>
    <t>DigiGate</t>
  </si>
  <si>
    <t>Surgery</t>
  </si>
  <si>
    <t>BPC Definitions:</t>
  </si>
  <si>
    <t>BPC Rates:</t>
  </si>
  <si>
    <t>Total Travel</t>
  </si>
  <si>
    <t>Base Salary</t>
  </si>
  <si>
    <t>IBS Ion-Beam sputtering</t>
  </si>
  <si>
    <t>TENUPOL</t>
  </si>
  <si>
    <t>Arc Melter MAM-1</t>
  </si>
  <si>
    <t>ThermoCalc</t>
  </si>
  <si>
    <t>MEDEA</t>
  </si>
  <si>
    <t>Hitachi S4800-II cFEG SEM</t>
  </si>
  <si>
    <t>Hitachi S3400N SEM</t>
  </si>
  <si>
    <t>JEOL JEM-2100 FasTEM</t>
  </si>
  <si>
    <t>Hitachi HT-7700 Biological TEM</t>
  </si>
  <si>
    <t>Thermo Scientific ESCALAB 250 Xi X-Ray Photoelectron Spectrometer</t>
  </si>
  <si>
    <t>Physical Electronics PHI TRIFT III ToF-SIMS</t>
  </si>
  <si>
    <t>Thermo Nicolet Nexus 870 FT-IR</t>
  </si>
  <si>
    <t>Veeco Dektak 150 Surface Profiler</t>
  </si>
  <si>
    <t>J.A. Woollam M2000U Spectroscopic Ellipsometer</t>
  </si>
  <si>
    <t>Malvern Instruments Zetasizer</t>
  </si>
  <si>
    <t>Bruker ContourGT Optical Profiler</t>
  </si>
  <si>
    <t>Leica Spinning Disk Confocal</t>
  </si>
  <si>
    <t>Leica MM80 Impact Freezer</t>
  </si>
  <si>
    <t>Analytical HPLC</t>
  </si>
  <si>
    <t>BLitz Bio-Layer Interferometer (Evanston)</t>
  </si>
  <si>
    <t>BLItz Bio-Layer Interferometer (Chicago)</t>
  </si>
  <si>
    <t>Lyophilizer</t>
  </si>
  <si>
    <t>NanoSight NTA</t>
  </si>
  <si>
    <t>Photon-Counting Fluorescence Spectrometer</t>
  </si>
  <si>
    <t>For the Keck Biophysics Facility</t>
  </si>
  <si>
    <t>Staff Service</t>
  </si>
  <si>
    <t>UV/Vis DAD Spectrophotometer</t>
  </si>
  <si>
    <t>UV/Vis/NIR Spectrophotometer</t>
  </si>
  <si>
    <t>Microwave Digestion</t>
  </si>
  <si>
    <t>LimeLight</t>
  </si>
  <si>
    <t>Fear Conditioning</t>
  </si>
  <si>
    <t>Rotarod</t>
  </si>
  <si>
    <t>Prepulse Inhibition (PPI)</t>
  </si>
  <si>
    <t>Eyeblink Conditioning</t>
  </si>
  <si>
    <t>Plantar/Pain Testing</t>
  </si>
  <si>
    <t>General Use</t>
  </si>
  <si>
    <t>Data Analysis</t>
  </si>
  <si>
    <t>SubK PI</t>
  </si>
  <si>
    <t>Total Equipment</t>
  </si>
  <si>
    <t>%</t>
  </si>
  <si>
    <t>hrs.</t>
  </si>
  <si>
    <t>Effort Calculator</t>
  </si>
  <si>
    <t>Enter ⇓</t>
  </si>
  <si>
    <t>Senior Personnel Justification</t>
  </si>
  <si>
    <t>Other Personnel Justification</t>
  </si>
  <si>
    <t>Equipment Justification</t>
  </si>
  <si>
    <t>Travel Justification</t>
  </si>
  <si>
    <t>SubK Justification</t>
  </si>
  <si>
    <t>MTDC Other and Non-MTDC Other Justification</t>
  </si>
  <si>
    <t>Font is Arial 11 to conform with NSF and NIH guidelines.</t>
  </si>
  <si>
    <t>1. Equipment</t>
  </si>
  <si>
    <t>2. Equipment</t>
  </si>
  <si>
    <t>3. Equipment</t>
  </si>
  <si>
    <t>4. Equipment</t>
  </si>
  <si>
    <t>5. Equipment</t>
  </si>
  <si>
    <t>Percent Effort to Person Months Effort</t>
  </si>
  <si>
    <t>Person Months Effort to Percent Effort</t>
  </si>
  <si>
    <t>Person Months Effort to Labor Hours</t>
  </si>
  <si>
    <t>→</t>
  </si>
  <si>
    <t># calendar person months (or #% calendar effort) of # postdoctoral associate’s salary is requested each year for # years and is inflated by #% each September. The postdoctoral associate will …</t>
  </si>
  <si>
    <t># undergraduate student’s salary is requested each year for # years and is inflated by # each September. The undergraduate student will …</t>
  </si>
  <si>
    <t>Other: Support is requested each year for # years to cover the cost of laboratory facility use and training.  Current rates for these facilities are included below.</t>
  </si>
  <si>
    <t>PERSONNEL</t>
  </si>
  <si>
    <t>EQUIPMENT</t>
  </si>
  <si>
    <t>TRAVEL</t>
  </si>
  <si>
    <t># CATEGORY person months (or #% CATEGORY effort) of Professor ABC's salary is requested each year for # years and is inflated by #% each September. Professor ABC will …</t>
  </si>
  <si>
    <t>Boilerplate Budget Justification Language</t>
  </si>
  <si>
    <t>SUBAWARDS</t>
  </si>
  <si>
    <t>Subaward: Support is requested each year for # years for a total of $ for a subaward to SUBAWARD.  This subaward, led by subaward PI PERSON, is responsible for the following goals and tasks:</t>
  </si>
  <si>
    <t>F&amp;A accrues only on the first $25,000 of this subaward.</t>
  </si>
  <si>
    <t>F&amp;A</t>
  </si>
  <si>
    <t>F&amp;A has been calculated based on the following DHHS approved rates:</t>
  </si>
  <si>
    <t>F&amp;A has been calculated based on the following approved rates:</t>
  </si>
  <si>
    <t>Support is requested for the following items of capital equipment: … Capital equipment is requested for ...</t>
  </si>
  <si>
    <t>Support is requested each year for # years to cover the cost of transportation, accommodation, and subsistence for travel to scientific conferences, to present results, and meet with collaborators. Travel is requested for …</t>
  </si>
  <si>
    <t>Consultant Services: Support is requested to cover the cost of consultant services each year for # years. Consultant services are requested for …</t>
  </si>
  <si>
    <t>Populate</t>
  </si>
  <si>
    <t>Filter to also show additional rows</t>
  </si>
  <si>
    <t>Filter to also show additional rows.</t>
  </si>
  <si>
    <t>Post Doctoral Associates</t>
  </si>
  <si>
    <t>CM</t>
  </si>
  <si>
    <t>Other Professionals</t>
  </si>
  <si>
    <t>Graduate Students</t>
  </si>
  <si>
    <t>Undergraduate Students</t>
  </si>
  <si>
    <t>Other Personnel (Statutory)</t>
  </si>
  <si>
    <t>SM</t>
  </si>
  <si>
    <t>Y1 Labor Hours - Auto-Calculated</t>
  </si>
  <si>
    <t>Labor Hour Auto-Calculator</t>
  </si>
  <si>
    <t>ACA</t>
  </si>
  <si>
    <t>SUM</t>
  </si>
  <si>
    <t>Organization</t>
  </si>
  <si>
    <t>Sponsor</t>
  </si>
  <si>
    <t>Senior Personnel</t>
  </si>
  <si>
    <t>Total Senior Personnel Costs</t>
  </si>
  <si>
    <t>Other Personnel</t>
  </si>
  <si>
    <t>Principal Investigator/Project Director</t>
  </si>
  <si>
    <t>Total Salaries, Wages, and Fringe Benefits</t>
  </si>
  <si>
    <t>Capital Equipment</t>
  </si>
  <si>
    <t>Total Capital Equipment</t>
  </si>
  <si>
    <t>Travel</t>
  </si>
  <si>
    <t>Other Direct Costs</t>
  </si>
  <si>
    <t>Materials and Supplies</t>
  </si>
  <si>
    <t>Publication Costs</t>
  </si>
  <si>
    <t>Consultant Services</t>
  </si>
  <si>
    <t>Computer Services</t>
  </si>
  <si>
    <t>Tuition</t>
  </si>
  <si>
    <t>MTDC Other</t>
  </si>
  <si>
    <t>Total Indirect Costs</t>
  </si>
  <si>
    <t>When complete, filter to hide all blank rows.</t>
  </si>
  <si>
    <t>A) Condensed</t>
  </si>
  <si>
    <t>F) Add More Subawards (12 Total)</t>
  </si>
  <si>
    <t>E) Add Subawards (6 Total)</t>
  </si>
  <si>
    <t>F) Add Subawards (6 Total)</t>
  </si>
  <si>
    <t>G) Add More Subawards (12 Total)</t>
  </si>
  <si>
    <t>Other Direct Costs Justifications</t>
  </si>
  <si>
    <t>F&amp;A Type</t>
  </si>
  <si>
    <t>Note: This Summary sheet will reflect entries made into the YEAR1-5 sheets
(see tabs at bottom of window). Enter information starting at YEAR1, not here.</t>
  </si>
  <si>
    <t>Effort Breakdown</t>
  </si>
  <si>
    <t>Internal Only</t>
  </si>
  <si>
    <t>These columns are for internal purposes only.</t>
  </si>
  <si>
    <t>Example Justification</t>
  </si>
  <si>
    <t>The PI will oversee all aspects of the project.</t>
  </si>
  <si>
    <t>The Co-PI is responsible for Aim 1.</t>
  </si>
  <si>
    <t>The Co-I is responsible for Aim 2.</t>
  </si>
  <si>
    <t>The technician will work with the PI on completing Aim 1.</t>
  </si>
  <si>
    <t>The postdoc will work with the PI on completing Aim 1.</t>
  </si>
  <si>
    <t>Supplies are for laboratory consumables and materials.</t>
  </si>
  <si>
    <t>Publication costs are for publishing in 2 scientific journals a year.</t>
  </si>
  <si>
    <t>Consultant John Smith will review and offer insight throughout Aim 1.</t>
  </si>
  <si>
    <t>Computer services are for processing the large amounts of data.</t>
  </si>
  <si>
    <t>Laboratory services are for data collection and processing.</t>
  </si>
  <si>
    <t>SubK PI is responsible for Aim 2.</t>
  </si>
  <si>
    <t>SubK PI will work with the PI on Aim 1.</t>
  </si>
  <si>
    <t>The undergrad will work on data collection throughout the summer.</t>
  </si>
  <si>
    <t>A computer is needed to process data. (Funds requested in Year 1 only.)</t>
  </si>
  <si>
    <t>SubK PI is responsible for the clinical trials portion of the project.</t>
  </si>
  <si>
    <t>Travel is for transport to scientific conferences and to meet collaborators.</t>
  </si>
  <si>
    <t>The Master's student will work with the PI on completing Aim 1.</t>
  </si>
  <si>
    <t>For the Northwestern University Micro/Nano Fabrication Facilitiy (NUFAB):</t>
  </si>
  <si>
    <t>Cleanroom (CR) Charges</t>
  </si>
  <si>
    <t>Equipment Charges</t>
  </si>
  <si>
    <t>Hourly Rate</t>
  </si>
  <si>
    <t>Gowning Charges</t>
  </si>
  <si>
    <t>Flood Exposure</t>
  </si>
  <si>
    <t>Blue-M Ovens</t>
  </si>
  <si>
    <t>Developer Hood and Supplied Chemicals</t>
  </si>
  <si>
    <t>Acid/Solvent Hoods and Supplied Chemicals</t>
  </si>
  <si>
    <t>DRIE (STS Pegasus)</t>
  </si>
  <si>
    <t>RIE (Samco 10NR)</t>
  </si>
  <si>
    <t>PECVD (STS)</t>
  </si>
  <si>
    <t>Sputter (AJA)</t>
  </si>
  <si>
    <t>Parylene Coater</t>
  </si>
  <si>
    <t>Thermal Evaporator (Denton)</t>
  </si>
  <si>
    <t>E-beam Evaporator (AJA)</t>
  </si>
  <si>
    <t>XeF2 Etcher</t>
  </si>
  <si>
    <t>RTA/RTP (Allwin21)</t>
  </si>
  <si>
    <t>Profilometer (Dektak 8)</t>
  </si>
  <si>
    <t>Electrical Test Station</t>
  </si>
  <si>
    <t>Reflectometer (Filmetrics F20)</t>
  </si>
  <si>
    <t>Optical Microscopes</t>
  </si>
  <si>
    <t>Optical Profilometer (Zygo NexView)</t>
  </si>
  <si>
    <t>Wet/dry Oxidation (Tystar furnace)</t>
  </si>
  <si>
    <t>LPCVD Nitride (Tystar furnace)</t>
  </si>
  <si>
    <t>Maskless Aligner (Heidelberg uPG501)</t>
  </si>
  <si>
    <t>Contact Angle Measurement (VCA Optima XE)</t>
  </si>
  <si>
    <t>Critical Point Dryer - Tousimis</t>
  </si>
  <si>
    <t>Included in CR charge</t>
  </si>
  <si>
    <t>Training Charges</t>
  </si>
  <si>
    <t>Equipment Training</t>
  </si>
  <si>
    <t>Hands-on Clean Room Training</t>
  </si>
  <si>
    <t>Process Support</t>
  </si>
  <si>
    <t>Northwestern University Budget Justification</t>
  </si>
  <si>
    <t>It is recommended you copy and paste the text into a Word Document for easier editing if you would like to further revise the budget justification language.</t>
  </si>
  <si>
    <t>Non-MTDC Other (no indirect costs)</t>
  </si>
  <si>
    <t>Federal</t>
  </si>
  <si>
    <t>Requested from Sponsor</t>
  </si>
  <si>
    <t>Person-</t>
  </si>
  <si>
    <t>Months</t>
  </si>
  <si>
    <t>CS</t>
  </si>
  <si>
    <t>Unrecovered F&amp;A</t>
  </si>
  <si>
    <t>Cumulative</t>
  </si>
  <si>
    <t>Indirect Costs (Cost Share "Unrecovered F&amp;A")</t>
  </si>
  <si>
    <t>NAME:</t>
  </si>
  <si>
    <t>Project Costs</t>
  </si>
  <si>
    <t>Cumulative Budget</t>
  </si>
  <si>
    <t>Instructions</t>
  </si>
  <si>
    <t>Project Info</t>
  </si>
  <si>
    <t>Trip 1</t>
  </si>
  <si>
    <t>Trip 2</t>
  </si>
  <si>
    <t>Trip 3</t>
  </si>
  <si>
    <t>Enter the basic information about the average or typical trip. These figures can be customized on a per trip basis if necessary in the detail boxes to the right.</t>
  </si>
  <si>
    <t>PI:</t>
  </si>
  <si>
    <t>Days:</t>
  </si>
  <si>
    <t>Travelers:</t>
  </si>
  <si>
    <t>Rates</t>
  </si>
  <si>
    <t>Summary by Year</t>
  </si>
  <si>
    <t>Domestic</t>
  </si>
  <si>
    <t>Foreign</t>
  </si>
  <si>
    <t>Lodging</t>
  </si>
  <si>
    <t>M&amp;IE</t>
  </si>
  <si>
    <t>Total:</t>
  </si>
  <si>
    <t xml:space="preserve">Fill this table in carefully using your proposed destinations and the appropriate information for single-person daily costs or per-trip travel costs, not to exceed values found on the federal Travel Rates websites shown below.
The Identifier column is the name of the school, conference, or purpose of trip. There should be no duplicates in this column. The Destination column is for reference only. The Domestic/Foreign category must be populated in order for integration with the budget template to work.
Lodging and M&amp;IE meals and incidental expenses) can be found on the federal tables for domestic or foreign travel. Note that some destinations have different approved rates for different seasons (generally tropical, tourist destinations). Choose the correct rates for the time of your travel, or make two entries. The per-trip calculator to the right figures lodging as the number of days minus one, and the M&amp;IE is calculated at 75% for the first and last days of the trip.
The Travel column is round-trip, once-per-trip-per person cost, such as flights and conference registration. </t>
  </si>
  <si>
    <t>Identifier</t>
  </si>
  <si>
    <t>Destination</t>
  </si>
  <si>
    <t>Cat.</t>
  </si>
  <si>
    <t>Some useful resources.</t>
  </si>
  <si>
    <t>Travel Resources</t>
  </si>
  <si>
    <t>GSA Continental US (CONUS) Per Diem Rates</t>
  </si>
  <si>
    <t>DoD Alaska, Hawaii, and Overseas Territories Per Diem Rates</t>
  </si>
  <si>
    <t>State Department Foreign Travel Per Diem Rates</t>
  </si>
  <si>
    <t>Northwestern University Travel Services</t>
  </si>
  <si>
    <t xml:space="preserve">Title: </t>
  </si>
  <si>
    <t>Cost Share:</t>
  </si>
  <si>
    <t>Warnings</t>
  </si>
  <si>
    <t>NIH</t>
  </si>
  <si>
    <t>NCI</t>
  </si>
  <si>
    <t>NEI</t>
  </si>
  <si>
    <t>NHLBI</t>
  </si>
  <si>
    <t>NHGRI</t>
  </si>
  <si>
    <t>NIA</t>
  </si>
  <si>
    <t>NIAAA</t>
  </si>
  <si>
    <t>NIAID</t>
  </si>
  <si>
    <t>NIAMS</t>
  </si>
  <si>
    <t>NIBIB</t>
  </si>
  <si>
    <t>NICHD</t>
  </si>
  <si>
    <t>NIDCD</t>
  </si>
  <si>
    <t>NIDCR</t>
  </si>
  <si>
    <t>NIDDK</t>
  </si>
  <si>
    <t>NIDA</t>
  </si>
  <si>
    <t>NIEHS</t>
  </si>
  <si>
    <t>NIGMS</t>
  </si>
  <si>
    <t>NIMH</t>
  </si>
  <si>
    <t>NIMHD</t>
  </si>
  <si>
    <t>NINDS</t>
  </si>
  <si>
    <t>NINR</t>
  </si>
  <si>
    <t>NLM</t>
  </si>
  <si>
    <t>CC</t>
  </si>
  <si>
    <t>CIT</t>
  </si>
  <si>
    <t>CSR</t>
  </si>
  <si>
    <t>FIC</t>
  </si>
  <si>
    <t>NCATS</t>
  </si>
  <si>
    <t>NCCIH</t>
  </si>
  <si>
    <t>OD</t>
  </si>
  <si>
    <t>NIH NCI</t>
  </si>
  <si>
    <t>NIH NEI</t>
  </si>
  <si>
    <t>NIH NHLBI</t>
  </si>
  <si>
    <t>NIH NHGRI</t>
  </si>
  <si>
    <t>NIH NIA</t>
  </si>
  <si>
    <t>NIH NIAAA</t>
  </si>
  <si>
    <t>NIH NIAID</t>
  </si>
  <si>
    <t>NIH NIAMS</t>
  </si>
  <si>
    <t>NIH NIBIB</t>
  </si>
  <si>
    <t>NIH NICHD</t>
  </si>
  <si>
    <t>NIH NIDCD</t>
  </si>
  <si>
    <t>NIH NIDCR</t>
  </si>
  <si>
    <t>NIH NIDDK</t>
  </si>
  <si>
    <t>NIH NIDA</t>
  </si>
  <si>
    <t>NIH NIEHS</t>
  </si>
  <si>
    <t>NIH NIGMS</t>
  </si>
  <si>
    <t>NIH NIMH</t>
  </si>
  <si>
    <t>NIH NIMHD</t>
  </si>
  <si>
    <t>NIH NINDS</t>
  </si>
  <si>
    <t>NIH NINR</t>
  </si>
  <si>
    <t>NIH NLM</t>
  </si>
  <si>
    <t>NIH CC</t>
  </si>
  <si>
    <t>NIH CIT</t>
  </si>
  <si>
    <t>NIH CSR</t>
  </si>
  <si>
    <t>NIH FIC</t>
  </si>
  <si>
    <t>NIH NCATS</t>
  </si>
  <si>
    <t>NIH NCCIH</t>
  </si>
  <si>
    <t>NIH OD</t>
  </si>
  <si>
    <t>National Cancer Institute</t>
  </si>
  <si>
    <t>National Eye Institute</t>
  </si>
  <si>
    <t>National Heart, Lung, and Blood Institute</t>
  </si>
  <si>
    <t>National Human Genome Research Institute</t>
  </si>
  <si>
    <t>National Institute on Aging</t>
  </si>
  <si>
    <t>National Institute on Alcohol Abuse and Alcoholism</t>
  </si>
  <si>
    <t>National Institute of Allergy and Infectious Diseases</t>
  </si>
  <si>
    <t>National Institute of Arthritis and Musculoskeletal and Skin Diseases</t>
  </si>
  <si>
    <t>National Institute of Biomedical Imaging and Bioengineering</t>
  </si>
  <si>
    <t>Eunice Kennedy Shriver National Institute of Child Health and Human Development</t>
  </si>
  <si>
    <t>National Institute on Deafness and Other Communication Disorders</t>
  </si>
  <si>
    <t>National Institute of Dental and Craniofacial Research</t>
  </si>
  <si>
    <t>National Institute of Diabetes and Digestive and Kidney Diseases</t>
  </si>
  <si>
    <t>National Institute on Drug Abuse</t>
  </si>
  <si>
    <t>National Institute of Environmental Health Sciences</t>
  </si>
  <si>
    <t>National Institute of General Medical Sciences</t>
  </si>
  <si>
    <t>The National Institute of General Medical Sciences</t>
  </si>
  <si>
    <t>National Institute of Mental Health</t>
  </si>
  <si>
    <t>National Institute on Minority Health and Health Disparities</t>
  </si>
  <si>
    <t>National Institute of Neurological Disorders and Stroke</t>
  </si>
  <si>
    <t>National Institute of Nursing Research</t>
  </si>
  <si>
    <t>National Library of Medicine</t>
  </si>
  <si>
    <t>NIH Clinical Center</t>
  </si>
  <si>
    <t>Center for Information Technology</t>
  </si>
  <si>
    <t>Center for Scientific Review</t>
  </si>
  <si>
    <t>Fogarty International Center</t>
  </si>
  <si>
    <t>National Center for Advancing Translational Sciences</t>
  </si>
  <si>
    <t>National Center for Complementary and Integrative Health</t>
  </si>
  <si>
    <t>National Institutes of Health</t>
  </si>
  <si>
    <t>National Institute of Health</t>
  </si>
  <si>
    <t>Federal On Campus</t>
  </si>
  <si>
    <t>Federal Off Campus</t>
  </si>
  <si>
    <t>Federal DoD Contract</t>
  </si>
  <si>
    <t>Named Lists</t>
  </si>
  <si>
    <t>Non-Federal</t>
  </si>
  <si>
    <t>On Campus</t>
  </si>
  <si>
    <t>Off Campus</t>
  </si>
  <si>
    <t>DoD Contract</t>
  </si>
  <si>
    <t>No F&amp;A</t>
  </si>
  <si>
    <t>Custom</t>
  </si>
  <si>
    <t>Initial Fiscal Year Base F&amp;A Rate =</t>
  </si>
  <si>
    <r>
      <t xml:space="preserve">Enter the Identifier for each trip, or leave blank if no trip is planned. This must match the Identifier column in table below </t>
    </r>
    <r>
      <rPr>
        <b/>
        <sz val="11"/>
        <color theme="1"/>
        <rFont val="Calibri"/>
        <family val="2"/>
        <scheme val="minor"/>
      </rPr>
      <t>exactly</t>
    </r>
    <r>
      <rPr>
        <sz val="11"/>
        <rFont val="Calibri"/>
        <family val="2"/>
        <scheme val="minor"/>
      </rPr>
      <t>! If there is no match, you will see an error message in the related tables.
If there is no travel, clear these entries rather than deleting from the individual budget tabs, or the formulas will be broken.</t>
    </r>
  </si>
  <si>
    <t>Project Total</t>
  </si>
  <si>
    <t>Budget Period 1</t>
  </si>
  <si>
    <t>Budget Period 2</t>
  </si>
  <si>
    <t>Budget Period 3</t>
  </si>
  <si>
    <t>Budget Period 4</t>
  </si>
  <si>
    <t>Budget Period 5</t>
  </si>
  <si>
    <t>JDRF</t>
  </si>
  <si>
    <t>Juvenile Diabetes Research Foundation</t>
  </si>
  <si>
    <t>PHS</t>
  </si>
  <si>
    <t>Public Health Service</t>
  </si>
  <si>
    <t>AICR</t>
  </si>
  <si>
    <t>American Institute for Cancer Research</t>
  </si>
  <si>
    <t>Alex's Lemonade Stand</t>
  </si>
  <si>
    <t>Alex's Lemonade Stand Foundation</t>
  </si>
  <si>
    <t>ALSF</t>
  </si>
  <si>
    <t>Greenwall Foundation</t>
  </si>
  <si>
    <t>Greenwall</t>
  </si>
  <si>
    <t>Ovarian Cancer Research Fund</t>
  </si>
  <si>
    <t>OCRF</t>
  </si>
  <si>
    <t>Progeria Research Foundation</t>
  </si>
  <si>
    <t>Progeria</t>
  </si>
  <si>
    <t>Rheumatology Research Foundation</t>
  </si>
  <si>
    <t>Number of Budget Periods</t>
  </si>
  <si>
    <t>BP 1</t>
  </si>
  <si>
    <t>BP 2</t>
  </si>
  <si>
    <t>BP 3</t>
  </si>
  <si>
    <t>BP 4</t>
  </si>
  <si>
    <t>BP 5</t>
  </si>
  <si>
    <t>BP1</t>
  </si>
  <si>
    <t>BP2</t>
  </si>
  <si>
    <t>BP3</t>
  </si>
  <si>
    <t>BP4</t>
  </si>
  <si>
    <t>BP5</t>
  </si>
  <si>
    <t>Note: This Summary sheet will reflect entries made into the Budget Period 1-5 sheets
(see tabs at bottom of window). Enter information starting at BP1 tab, not here.</t>
  </si>
  <si>
    <t>)</t>
  </si>
  <si>
    <t>1.</t>
  </si>
  <si>
    <t>2.</t>
  </si>
  <si>
    <t>Non-Federal Off Campus</t>
  </si>
  <si>
    <t>Non-Federal On Campus</t>
  </si>
  <si>
    <t>Originating Sponsor</t>
  </si>
  <si>
    <t>Flow-through Sponsor</t>
  </si>
  <si>
    <t>Cumulative Total All Costs</t>
  </si>
  <si>
    <t>12 Months</t>
  </si>
  <si>
    <t># CATEGORY person months (or #% CATEGORY effort) of Professor ABC's salary is committed to the project each year for # years per Northwestern University cost-sharing.</t>
  </si>
  <si>
    <t>Transmission Electron Microcopy</t>
  </si>
  <si>
    <t>Scanning Electron Microscopy</t>
  </si>
  <si>
    <t>FEI Helios Nanolab SEM/FIB</t>
  </si>
  <si>
    <t>Lesker Nano38 Thin Film Deposition System</t>
  </si>
  <si>
    <t>Fishcione 1040 NanoMill</t>
  </si>
  <si>
    <t>Fischione 1050 TEM Mill</t>
  </si>
  <si>
    <t>SPI Osmium Coater</t>
  </si>
  <si>
    <t>Spin Coater</t>
  </si>
  <si>
    <t>Denton Desk IV Sputter Coater</t>
  </si>
  <si>
    <t>Struers Twin-jet Electropolisher</t>
  </si>
  <si>
    <t>Amira 3D Analysis Software for Life Sciences</t>
  </si>
  <si>
    <t>Other</t>
  </si>
  <si>
    <t>Keck-II Instruments</t>
  </si>
  <si>
    <t>Scanned Probe Imaging and Development (SPID)</t>
  </si>
  <si>
    <t>Bruker Dimension FastScan Atomic Force Microscope</t>
  </si>
  <si>
    <t>Bruker Bioscope Resolve Life Science Imaging System</t>
  </si>
  <si>
    <t>Bruker ICON Atomic Force Microscope</t>
  </si>
  <si>
    <t>Horiba LabRam Confocal RAMAN Microscope</t>
  </si>
  <si>
    <t>B) Add Senior Personnel (10 Total)</t>
  </si>
  <si>
    <t>C) Add More Senior Personnel (15 Total)</t>
  </si>
  <si>
    <t>E) Add Equipment (5 Total)</t>
  </si>
  <si>
    <t>2.a(</t>
  </si>
  <si>
    <t>2.b(</t>
  </si>
  <si>
    <t>2.c(</t>
  </si>
  <si>
    <t>2.d(</t>
  </si>
  <si>
    <t>2.e(</t>
  </si>
  <si>
    <t>D) Add Other Professionals (5 Total)</t>
  </si>
  <si>
    <t>Outyear Changes Check
Sponsor Budget</t>
  </si>
  <si>
    <t>GSA</t>
  </si>
  <si>
    <t>unknown</t>
  </si>
  <si>
    <t>BP1
Sponsor</t>
  </si>
  <si>
    <t>BP2
Sponsor</t>
  </si>
  <si>
    <t>BP3
Sponsor</t>
  </si>
  <si>
    <t>BP4
Sponsor</t>
  </si>
  <si>
    <t>BP5
Sponsor</t>
  </si>
  <si>
    <t>BP1
Cost-Share</t>
  </si>
  <si>
    <t>BP2
Cost-Share</t>
  </si>
  <si>
    <t>BP3
Cost-Share</t>
  </si>
  <si>
    <t>BP4
Cost-Share</t>
  </si>
  <si>
    <t>BP5
Cost-Share</t>
  </si>
  <si>
    <t>Outyear Changes Check
Cost-Share Budget</t>
  </si>
  <si>
    <t>Title</t>
  </si>
  <si>
    <t>MTDC</t>
  </si>
  <si>
    <t>Cost-Share</t>
  </si>
  <si>
    <t>Third Party Cost-Share</t>
  </si>
  <si>
    <t>Cost-Share as % of Sponsor Costs</t>
  </si>
  <si>
    <t>Cost-Share as % of Project Costs</t>
  </si>
  <si>
    <t xml:space="preserve">Budget Period Start </t>
  </si>
  <si>
    <t xml:space="preserve">Budget Period End </t>
  </si>
  <si>
    <t>Person-Months</t>
  </si>
  <si>
    <t>NRSA</t>
  </si>
  <si>
    <t>Non-citizen temporary U.S. visa?</t>
  </si>
  <si>
    <t>Non-citizen permanent U.S. resident visa?</t>
  </si>
  <si>
    <t>U.S. citizen or non-citizen national?</t>
  </si>
  <si>
    <r>
      <t xml:space="preserve">What is your </t>
    </r>
    <r>
      <rPr>
        <b/>
        <sz val="11"/>
        <color theme="1"/>
        <rFont val="Times New Roman"/>
        <family val="1"/>
      </rPr>
      <t>citizenship</t>
    </r>
    <r>
      <rPr>
        <sz val="11"/>
        <color theme="1"/>
        <rFont val="Times New Roman"/>
        <family val="1"/>
      </rPr>
      <t>?</t>
    </r>
  </si>
  <si>
    <r>
      <t xml:space="preserve">Are there applications for </t>
    </r>
    <r>
      <rPr>
        <b/>
        <sz val="11"/>
        <color theme="1"/>
        <rFont val="Times New Roman"/>
        <family val="1"/>
      </rPr>
      <t>concurrent fellowship support</t>
    </r>
    <r>
      <rPr>
        <sz val="11"/>
        <color theme="1"/>
        <rFont val="Times New Roman"/>
        <family val="1"/>
      </rPr>
      <t>?</t>
    </r>
  </si>
  <si>
    <r>
      <t xml:space="preserve">Do you have </t>
    </r>
    <r>
      <rPr>
        <b/>
        <sz val="11"/>
        <color theme="1"/>
        <rFont val="Times New Roman"/>
        <family val="1"/>
      </rPr>
      <t>current or prior NRSA support</t>
    </r>
    <r>
      <rPr>
        <sz val="11"/>
        <color theme="1"/>
        <rFont val="Times New Roman"/>
        <family val="1"/>
      </rPr>
      <t>?</t>
    </r>
  </si>
  <si>
    <r>
      <t xml:space="preserve">What is the NRSA </t>
    </r>
    <r>
      <rPr>
        <b/>
        <u/>
        <sz val="11"/>
        <color rgb="FF0070C0"/>
        <rFont val="Times New Roman"/>
        <family val="1"/>
      </rPr>
      <t>field of training</t>
    </r>
    <r>
      <rPr>
        <sz val="11"/>
        <rFont val="Times New Roman"/>
        <family val="1"/>
      </rPr>
      <t>?</t>
    </r>
  </si>
  <si>
    <t>When did you start at Northwestern (mm/yyyy)?</t>
  </si>
  <si>
    <r>
      <t xml:space="preserve">What is your </t>
    </r>
    <r>
      <rPr>
        <b/>
        <sz val="11"/>
        <color theme="1"/>
        <rFont val="Times New Roman"/>
        <family val="1"/>
      </rPr>
      <t>expected completion date</t>
    </r>
    <r>
      <rPr>
        <sz val="11"/>
        <color theme="1"/>
        <rFont val="Times New Roman"/>
        <family val="1"/>
      </rPr>
      <t xml:space="preserve"> (mm/yyyy)?</t>
    </r>
  </si>
  <si>
    <r>
      <t xml:space="preserve">What is your </t>
    </r>
    <r>
      <rPr>
        <b/>
        <sz val="11"/>
        <color theme="1"/>
        <rFont val="Times New Roman"/>
        <family val="1"/>
      </rPr>
      <t>alternate phone number</t>
    </r>
    <r>
      <rPr>
        <sz val="11"/>
        <color theme="1"/>
        <rFont val="Times New Roman"/>
        <family val="1"/>
      </rPr>
      <t>?</t>
    </r>
  </si>
  <si>
    <r>
      <t xml:space="preserve">If you have a </t>
    </r>
    <r>
      <rPr>
        <b/>
        <sz val="11"/>
        <color theme="1"/>
        <rFont val="Times New Roman"/>
        <family val="1"/>
      </rPr>
      <t>co-sponsor</t>
    </r>
    <r>
      <rPr>
        <sz val="11"/>
        <color theme="1"/>
        <rFont val="Times New Roman"/>
        <family val="1"/>
      </rPr>
      <t>, who is it?</t>
    </r>
  </si>
  <si>
    <r>
      <t xml:space="preserve">Who is your </t>
    </r>
    <r>
      <rPr>
        <b/>
        <sz val="11"/>
        <color theme="1"/>
        <rFont val="Times New Roman"/>
        <family val="1"/>
      </rPr>
      <t>sponsor</t>
    </r>
    <r>
      <rPr>
        <sz val="11"/>
        <color theme="1"/>
        <rFont val="Times New Roman"/>
        <family val="1"/>
      </rPr>
      <t>?</t>
    </r>
  </si>
  <si>
    <t>S2S</t>
  </si>
  <si>
    <r>
      <t xml:space="preserve">Will there be </t>
    </r>
    <r>
      <rPr>
        <b/>
        <sz val="11"/>
        <color theme="1"/>
        <rFont val="Times New Roman"/>
        <family val="1"/>
      </rPr>
      <t>activities outside the U.S.</t>
    </r>
    <r>
      <rPr>
        <sz val="11"/>
        <color theme="1"/>
        <rFont val="Times New Roman"/>
        <family val="1"/>
      </rPr>
      <t xml:space="preserve"> or will there be partnership with </t>
    </r>
    <r>
      <rPr>
        <b/>
        <sz val="11"/>
        <color theme="1"/>
        <rFont val="Times New Roman"/>
        <family val="1"/>
      </rPr>
      <t>international collaborators</t>
    </r>
    <r>
      <rPr>
        <sz val="11"/>
        <color theme="1"/>
        <rFont val="Times New Roman"/>
        <family val="1"/>
      </rPr>
      <t>?</t>
    </r>
  </si>
  <si>
    <r>
      <t xml:space="preserve">Is the research performance site designated, or eligible to be designated, as a </t>
    </r>
    <r>
      <rPr>
        <b/>
        <sz val="11"/>
        <color theme="1"/>
        <rFont val="Times New Roman"/>
        <family val="1"/>
      </rPr>
      <t>historic place</t>
    </r>
    <r>
      <rPr>
        <sz val="11"/>
        <color theme="1"/>
        <rFont val="Times New Roman"/>
        <family val="1"/>
      </rPr>
      <t>?</t>
    </r>
  </si>
  <si>
    <r>
      <t xml:space="preserve">If an additional or a different </t>
    </r>
    <r>
      <rPr>
        <b/>
        <sz val="11"/>
        <color theme="1"/>
        <rFont val="Times New Roman"/>
        <family val="1"/>
      </rPr>
      <t>performance site</t>
    </r>
    <r>
      <rPr>
        <sz val="11"/>
        <color theme="1"/>
        <rFont val="Times New Roman"/>
        <family val="1"/>
      </rPr>
      <t xml:space="preserve"> is needed other than your standard office, specify.</t>
    </r>
  </si>
  <si>
    <r>
      <t xml:space="preserve">Will there be an </t>
    </r>
    <r>
      <rPr>
        <b/>
        <sz val="11"/>
        <color theme="1"/>
        <rFont val="Times New Roman"/>
        <family val="1"/>
      </rPr>
      <t>actual or potential impact on the environment</t>
    </r>
    <r>
      <rPr>
        <sz val="11"/>
        <color theme="1"/>
        <rFont val="Times New Roman"/>
        <family val="1"/>
      </rPr>
      <t xml:space="preserve"> (positive or negative)?</t>
    </r>
  </si>
  <si>
    <r>
      <t xml:space="preserve">Is </t>
    </r>
    <r>
      <rPr>
        <b/>
        <sz val="11"/>
        <color theme="1"/>
        <rFont val="Times New Roman"/>
        <family val="1"/>
      </rPr>
      <t>proprietary/privileged information</t>
    </r>
    <r>
      <rPr>
        <sz val="11"/>
        <color theme="1"/>
        <rFont val="Times New Roman"/>
        <family val="1"/>
      </rPr>
      <t xml:space="preserve"> included?</t>
    </r>
  </si>
  <si>
    <r>
      <t xml:space="preserve">If this is a resubmission, please list the </t>
    </r>
    <r>
      <rPr>
        <b/>
        <sz val="11"/>
        <color theme="1"/>
        <rFont val="Times New Roman"/>
        <family val="1"/>
      </rPr>
      <t>original proposal’s application ID</t>
    </r>
    <r>
      <rPr>
        <sz val="11"/>
        <color theme="1"/>
        <rFont val="Times New Roman"/>
        <family val="1"/>
      </rPr>
      <t xml:space="preserve"> (i.e., 1R21CA12345-01).</t>
    </r>
  </si>
  <si>
    <t>Standard</t>
  </si>
  <si>
    <r>
      <t xml:space="preserve">Does this study involve </t>
    </r>
    <r>
      <rPr>
        <b/>
        <sz val="11"/>
        <color theme="1"/>
        <rFont val="Times New Roman"/>
        <family val="1"/>
      </rPr>
      <t>human subjects research</t>
    </r>
    <r>
      <rPr>
        <sz val="11"/>
        <color theme="1"/>
        <rFont val="Times New Roman"/>
        <family val="1"/>
      </rPr>
      <t>, including dissemination of any surveys?</t>
    </r>
  </si>
  <si>
    <r>
      <t xml:space="preserve">Does this study involve </t>
    </r>
    <r>
      <rPr>
        <b/>
        <sz val="11"/>
        <color theme="1"/>
        <rFont val="Times New Roman"/>
        <family val="1"/>
      </rPr>
      <t>vertebrate animal subjects</t>
    </r>
    <r>
      <rPr>
        <sz val="11"/>
        <color theme="1"/>
        <rFont val="Times New Roman"/>
        <family val="1"/>
      </rPr>
      <t>?</t>
    </r>
  </si>
  <si>
    <r>
      <t xml:space="preserve">Does the research require the use of </t>
    </r>
    <r>
      <rPr>
        <b/>
        <sz val="11"/>
        <color theme="1"/>
        <rFont val="Times New Roman"/>
        <family val="1"/>
      </rPr>
      <t>compounds or materials from other universities or companies</t>
    </r>
    <r>
      <rPr>
        <sz val="11"/>
        <color theme="1"/>
        <rFont val="Times New Roman"/>
        <family val="1"/>
      </rPr>
      <t>?</t>
    </r>
  </si>
  <si>
    <r>
      <t xml:space="preserve">Is the research part of any current or past </t>
    </r>
    <r>
      <rPr>
        <b/>
        <sz val="11"/>
        <color theme="1"/>
        <rFont val="Times New Roman"/>
        <family val="1"/>
      </rPr>
      <t>industry collaboration</t>
    </r>
    <r>
      <rPr>
        <sz val="11"/>
        <color theme="1"/>
        <rFont val="Times New Roman"/>
        <family val="1"/>
      </rPr>
      <t>?</t>
    </r>
  </si>
  <si>
    <r>
      <t xml:space="preserve">Have any </t>
    </r>
    <r>
      <rPr>
        <b/>
        <sz val="11"/>
        <color theme="1"/>
        <rFont val="Times New Roman"/>
        <family val="1"/>
      </rPr>
      <t>inventions or patents</t>
    </r>
    <r>
      <rPr>
        <sz val="11"/>
        <color theme="1"/>
        <rFont val="Times New Roman"/>
        <family val="1"/>
      </rPr>
      <t xml:space="preserve"> related to this proposal been disclosed to the Technology Transfer Program (INVO) by project personnel?</t>
    </r>
  </si>
  <si>
    <r>
      <t xml:space="preserve">Does the proposed research involve the collection, derivation, or use of </t>
    </r>
    <r>
      <rPr>
        <b/>
        <sz val="11"/>
        <color theme="1"/>
        <rFont val="Times New Roman"/>
        <family val="1"/>
      </rPr>
      <t>human stem cells</t>
    </r>
    <r>
      <rPr>
        <sz val="11"/>
        <color theme="1"/>
        <rFont val="Times New Roman"/>
        <family val="1"/>
      </rPr>
      <t>?</t>
    </r>
  </si>
  <si>
    <r>
      <t xml:space="preserve">Will a </t>
    </r>
    <r>
      <rPr>
        <b/>
        <sz val="11"/>
        <color theme="1"/>
        <rFont val="Times New Roman"/>
        <family val="1"/>
      </rPr>
      <t>computer cluster</t>
    </r>
    <r>
      <rPr>
        <sz val="11"/>
        <color theme="1"/>
        <rFont val="Times New Roman"/>
        <family val="1"/>
      </rPr>
      <t xml:space="preserve"> be purchased for this project?</t>
    </r>
  </si>
  <si>
    <r>
      <t xml:space="preserve">Will any </t>
    </r>
    <r>
      <rPr>
        <b/>
        <sz val="11"/>
        <color theme="1"/>
        <rFont val="Times New Roman"/>
        <family val="1"/>
      </rPr>
      <t>additional space or renovation of space</t>
    </r>
    <r>
      <rPr>
        <sz val="11"/>
        <color theme="1"/>
        <rFont val="Times New Roman"/>
        <family val="1"/>
      </rPr>
      <t xml:space="preserve"> be required?</t>
    </r>
  </si>
  <si>
    <r>
      <t xml:space="preserve">Will any leaves/changes in </t>
    </r>
    <r>
      <rPr>
        <b/>
        <sz val="11"/>
        <color theme="1"/>
        <rFont val="Times New Roman"/>
        <family val="1"/>
      </rPr>
      <t>faculty responsibilities</t>
    </r>
    <r>
      <rPr>
        <sz val="11"/>
        <color theme="1"/>
        <rFont val="Times New Roman"/>
        <family val="1"/>
      </rPr>
      <t xml:space="preserve"> be required?</t>
    </r>
  </si>
  <si>
    <r>
      <t xml:space="preserve">If awarded, will the project require </t>
    </r>
    <r>
      <rPr>
        <b/>
        <sz val="11"/>
        <color theme="1"/>
        <rFont val="Times New Roman"/>
        <family val="1"/>
      </rPr>
      <t>multiple chartstrings</t>
    </r>
    <r>
      <rPr>
        <sz val="11"/>
        <color theme="1"/>
        <rFont val="Times New Roman"/>
        <family val="1"/>
      </rPr>
      <t xml:space="preserve"> set up?</t>
    </r>
  </si>
  <si>
    <t>LFH</t>
  </si>
  <si>
    <t>NUHS</t>
  </si>
  <si>
    <t>LCH</t>
  </si>
  <si>
    <t>RIC</t>
  </si>
  <si>
    <t>VA</t>
  </si>
  <si>
    <t>NMFF</t>
  </si>
  <si>
    <t>NMH</t>
  </si>
  <si>
    <t>If so, specify.</t>
  </si>
  <si>
    <r>
      <t xml:space="preserve">Does the project involve the use of facilities, staff, or patients of member institutions of the </t>
    </r>
    <r>
      <rPr>
        <b/>
        <sz val="11"/>
        <color theme="1"/>
        <rFont val="Times New Roman"/>
        <family val="1"/>
      </rPr>
      <t>McGaw Medical Center</t>
    </r>
    <r>
      <rPr>
        <sz val="11"/>
        <color theme="1"/>
        <rFont val="Times New Roman"/>
        <family val="1"/>
      </rPr>
      <t>?</t>
    </r>
  </si>
  <si>
    <r>
      <t xml:space="preserve">Will the majority of the research will be conducted </t>
    </r>
    <r>
      <rPr>
        <b/>
        <sz val="11"/>
        <color theme="1"/>
        <rFont val="Times New Roman"/>
        <family val="1"/>
      </rPr>
      <t>on campus or off campus</t>
    </r>
    <r>
      <rPr>
        <sz val="11"/>
        <color theme="1"/>
        <rFont val="Times New Roman"/>
        <family val="1"/>
      </rPr>
      <t>?</t>
    </r>
  </si>
  <si>
    <t>Project Dates</t>
  </si>
  <si>
    <t>PROPOSAL COMMITMENTS QUESTIONNAIRE</t>
  </si>
  <si>
    <t>Filter</t>
  </si>
  <si>
    <r>
      <t xml:space="preserve">What is your </t>
    </r>
    <r>
      <rPr>
        <b/>
        <sz val="11"/>
        <color theme="1"/>
        <rFont val="Times New Roman"/>
        <family val="1"/>
      </rPr>
      <t>CommonsID</t>
    </r>
    <r>
      <rPr>
        <sz val="11"/>
        <color theme="1"/>
        <rFont val="Times New Roman"/>
        <family val="1"/>
      </rPr>
      <t>?</t>
    </r>
  </si>
  <si>
    <t>Cost-Share Request</t>
  </si>
  <si>
    <t>Reg</t>
  </si>
  <si>
    <t>Registration</t>
  </si>
  <si>
    <t>Trip Total:</t>
  </si>
  <si>
    <t>Subaward I</t>
  </si>
  <si>
    <t>Subaward II</t>
  </si>
  <si>
    <t>Subaward III</t>
  </si>
  <si>
    <t>Subaward IV</t>
  </si>
  <si>
    <t>Subaward V</t>
  </si>
  <si>
    <t>Subaward VI</t>
  </si>
  <si>
    <t>Subaward VII</t>
  </si>
  <si>
    <t>Subaward VIII</t>
  </si>
  <si>
    <t>Subaward IX</t>
  </si>
  <si>
    <t>Subaward X</t>
  </si>
  <si>
    <t>Subaward XI</t>
  </si>
  <si>
    <t>Subaward XII</t>
  </si>
  <si>
    <t>Subaward Name</t>
  </si>
  <si>
    <t>Subaward PI</t>
  </si>
  <si>
    <t>Directs</t>
  </si>
  <si>
    <t>Indirects</t>
  </si>
  <si>
    <t>Total Direct Costs</t>
  </si>
  <si>
    <t>Enter the direct costs and indirect costs for each subaward for each year. These entries will drive the calculations of the Budget, as well as properly split out the total prime and subaward direct costs as required by certain sponsors such as NIH.</t>
  </si>
  <si>
    <t>Cumulative Total Direct Costs</t>
  </si>
  <si>
    <t>Subaward Cost-Share</t>
  </si>
  <si>
    <t>CUMULATIVE BUDGET</t>
  </si>
  <si>
    <t>CUMULATIVE</t>
  </si>
  <si>
    <t>TOTAL</t>
  </si>
  <si>
    <t>Total Cost-Shared</t>
  </si>
  <si>
    <t>This person has an 11-month appointment/a 10 month appointment. Effort percentage is thus based on 11/10 months rather than the standard 12 months.</t>
  </si>
  <si>
    <t>Materials and Supplies: Support is requested to cover the cost of expendable materials and supplies each year for # years. Materials and supplies include … Materials and supplies are requested for …</t>
  </si>
  <si>
    <t>Computer Services: Support is requested to cover the cost of computer services each year for # years. Computer services are requested for …</t>
  </si>
  <si>
    <t>58% MTDC 9/1/17 - 8/31/18 - Predetermined</t>
  </si>
  <si>
    <t>58% MTDC Beginning 9/1/18 - 8/31/19 and thereafter provisional</t>
  </si>
  <si>
    <t>68.9% MTDC Beginning 9/1/18 - 8/31/19 and thereafter provisional</t>
  </si>
  <si>
    <t>26% MTDC Beginning 9/1/18 - 8/31/19 and thereafter provisional - Off-Campus</t>
  </si>
  <si>
    <t>59% MTDC 9/1/17 - 8/31/18 - Predetermined; DoD Contract</t>
  </si>
  <si>
    <t>68.9% MTDC 9/1/17 - 8/31/18 - Predetermined</t>
  </si>
  <si>
    <t>26% MTDC 9/1/17 - 8/31/18 - Predetermined - Off-Campus</t>
  </si>
  <si>
    <t>Per sponsor guidelines, F&amp;A has been capped at the following rate:</t>
  </si>
  <si>
    <t>Per sponsor guidelines, no F&amp;A is allowed.</t>
  </si>
  <si>
    <t>#% MTDC</t>
  </si>
  <si>
    <t>#% TDC</t>
  </si>
  <si>
    <t>59% MTDC Beginning 9/1/18 - 8/31/19 and thereafter provisional; DoD Contract</t>
  </si>
  <si>
    <t>The grad student will work with the PI on completing Aim 1.</t>
  </si>
  <si>
    <t>/hr.</t>
  </si>
  <si>
    <t>School of Eng. &amp; Applied Sci.</t>
  </si>
  <si>
    <t>per Hour</t>
  </si>
  <si>
    <t>per Trainee</t>
  </si>
  <si>
    <t>per Trainee, per equipment</t>
  </si>
  <si>
    <t>Unit</t>
  </si>
  <si>
    <t>per hour</t>
  </si>
  <si>
    <t>Ball Wire Bonder (iBond5000)</t>
  </si>
  <si>
    <t>Doping p-type (Tystar furnace)</t>
  </si>
  <si>
    <t>Spinner/Bake Hoods</t>
  </si>
  <si>
    <t>Mask Aligner (Suss MJB4)</t>
  </si>
  <si>
    <t>Mask Aligner (Suss MABA6)</t>
  </si>
  <si>
    <t>per month</t>
  </si>
  <si>
    <t>as of 3/5/2018</t>
  </si>
  <si>
    <t>Self Serve</t>
  </si>
  <si>
    <t>Full Serve</t>
  </si>
  <si>
    <t>includes a stereotaxic with for rat or mouse,  gas adapters, and isoflurane vaporizer.</t>
  </si>
  <si>
    <t xml:space="preserve">Surgery: </t>
  </si>
  <si>
    <t>Med Associates startle system, 2 chambers simultaneously.</t>
  </si>
  <si>
    <t xml:space="preserve">Startle: </t>
  </si>
  <si>
    <t>thermal sensitivity test using an infrared beam and a glass floor, also provide  a set of von Frey hairs</t>
  </si>
  <si>
    <t xml:space="preserve">Plantar: </t>
  </si>
  <si>
    <t>5 lane TSE system (with shock floor)</t>
  </si>
  <si>
    <t xml:space="preserve">Rotorod: </t>
  </si>
  <si>
    <t>for people using our rooms, but not our equipment, i.e. they bring their own video camera for some behavior</t>
  </si>
  <si>
    <t xml:space="preserve">General Use: </t>
  </si>
  <si>
    <t xml:space="preserve"> Actimetrics FreezeFrame software, Coulbourn Hardware</t>
  </si>
  <si>
    <t>Fear:</t>
  </si>
  <si>
    <t>in house custom eyeblink conditioning system</t>
  </si>
  <si>
    <t xml:space="preserve">Eyeblink: </t>
  </si>
  <si>
    <t>Mouse Specifics treadmill- video digitzed footprints</t>
  </si>
  <si>
    <t xml:space="preserve">DigiGate: </t>
  </si>
  <si>
    <t>Actimetrics LimeLight Chambers (4 subjects in own chambers collected simultaneously)</t>
  </si>
  <si>
    <t xml:space="preserve">L-L: </t>
  </si>
  <si>
    <t>The lab collects the data- after they are certified to use the equipment</t>
  </si>
  <si>
    <t xml:space="preserve">Self Serve: </t>
  </si>
  <si>
    <t>The Core's technician does the training.</t>
  </si>
  <si>
    <t xml:space="preserve">Full Serve: </t>
  </si>
  <si>
    <t>NuWave 213 UP Laser Ablation (LA-ICP-MS), Additional to ICP-MS fees</t>
  </si>
  <si>
    <t>Perkin Elmer AAnalyst 800 (GFAAS)</t>
  </si>
  <si>
    <t>Dionex ICS 5000+ Ion Chromotography System</t>
  </si>
  <si>
    <t>Thermo ELEMENT2 High Resolution ICP-MS (HR-ICP-MS)</t>
  </si>
  <si>
    <t>Thermo iCAP 7600 (ICP-OES)</t>
  </si>
  <si>
    <t>Thermo iCAP Q (ICP-MS)</t>
  </si>
  <si>
    <t>Training, Assisted Usage, Sample Preparation and Analysis</t>
  </si>
  <si>
    <t>(*) rates charged per minute</t>
  </si>
  <si>
    <t>Typhoon Fluorimager*</t>
  </si>
  <si>
    <t>Surface Plasmon Resonance (limited access)</t>
  </si>
  <si>
    <t>Storm Phosphorimager*</t>
  </si>
  <si>
    <t>SEC-MALS-QELS  (limited access)</t>
  </si>
  <si>
    <t>PXi Chemiluminescence &amp; IR Imager*</t>
  </si>
  <si>
    <t>NanoDrop Spectrophotometer*</t>
  </si>
  <si>
    <t>NanoDrop 3300 Fluorimeter*</t>
  </si>
  <si>
    <t>LAS 4010 Gel Imager*</t>
  </si>
  <si>
    <t>Isothermal Titration Calorimeter (limited access)</t>
  </si>
  <si>
    <t>Training (one time)</t>
  </si>
  <si>
    <t xml:space="preserve">Instrument </t>
  </si>
  <si>
    <t>as of 3/5/18</t>
  </si>
  <si>
    <t>per Plate</t>
  </si>
  <si>
    <t>qPCR (Equipment Use)</t>
  </si>
  <si>
    <t>Price</t>
  </si>
  <si>
    <t>Equipment Use</t>
  </si>
  <si>
    <t>Staff Labor/Hour</t>
  </si>
  <si>
    <t>License seat</t>
  </si>
  <si>
    <t>Lasergene License</t>
  </si>
  <si>
    <t>Bioinformatics</t>
  </si>
  <si>
    <t>per Session</t>
  </si>
  <si>
    <t>Project Consulting</t>
  </si>
  <si>
    <t>Bioinformatics and Consultation</t>
  </si>
  <si>
    <t>per Sample</t>
  </si>
  <si>
    <t>Human Cell Line Authentication</t>
  </si>
  <si>
    <t>Human Cell Line Authentication Through STR Profiling</t>
  </si>
  <si>
    <t>DNA Extraction: 5-10ml Blood</t>
  </si>
  <si>
    <t>DNA Extraction &lt; 5ml Input</t>
  </si>
  <si>
    <t>Fragment Analyzer RNA/DNA Analysis</t>
  </si>
  <si>
    <t>per Chip</t>
  </si>
  <si>
    <t>Bioanalyzer DNA High Sensitivity Assay</t>
  </si>
  <si>
    <t>Bioanalyzer DNA 1K, RNA Nano/Pico Assay</t>
  </si>
  <si>
    <t xml:space="preserve">Qubit DNA/RNA Measurement </t>
  </si>
  <si>
    <t>DNA/RNA Nanodrop Measurement</t>
  </si>
  <si>
    <t>Sample QC</t>
  </si>
  <si>
    <t>Check NUcore</t>
  </si>
  <si>
    <t>Traditional Sequencing through ACGT: Premium Option</t>
  </si>
  <si>
    <t>Traditional Sequencing through ACGT: Standard Option</t>
  </si>
  <si>
    <t>Traditional Sequencing through ACGT: Low Cost Option</t>
  </si>
  <si>
    <t>Illumina Genotyping or MethylationEPIC Microarray Processing</t>
  </si>
  <si>
    <t>Affymetrix Microarray Processing</t>
  </si>
  <si>
    <t>Array Processing</t>
  </si>
  <si>
    <t>DNA Fragmentation on Covaris</t>
  </si>
  <si>
    <t>DNA Size Selection for Next-Gen Sequencing</t>
  </si>
  <si>
    <t>NGS Sample Prep</t>
  </si>
  <si>
    <t>Sequencing Library qPCR Quantification</t>
  </si>
  <si>
    <t>ATAC-Seq Library Prep</t>
  </si>
  <si>
    <t>Exome Sequencing Library Prep</t>
  </si>
  <si>
    <t>TruSeq ChIP-Seq Library Prep</t>
  </si>
  <si>
    <t xml:space="preserve">ImmunoSEQ Library Prep from Tissue </t>
  </si>
  <si>
    <t>Human Mitochondrial DNA Enrichment and Sequencing Library Prep</t>
  </si>
  <si>
    <t>Nextera XT DNA Library Prep</t>
  </si>
  <si>
    <t>DNA Methyl-Seq Library Prep</t>
  </si>
  <si>
    <t>TruSeq DNA Nano/ PCR-Free Library Prep</t>
  </si>
  <si>
    <t>Low-Input Small RNA-Seq Library Prep</t>
  </si>
  <si>
    <t>TruSeq Small RNA-Seq Library Prep</t>
  </si>
  <si>
    <t>Single-Cell RNA-Seq High-Throughput Library Prep</t>
  </si>
  <si>
    <t>Single-Cell Manual RNA-Seq Customization and Optimization</t>
  </si>
  <si>
    <t>Single-Cell Manual/ Ultra-Low-Input RNA-Seq Library Prep</t>
  </si>
  <si>
    <t>Low-Input RNA-Seq Library Prep</t>
  </si>
  <si>
    <t>TruSeq Total RNA-Seq Library Prep</t>
  </si>
  <si>
    <t>TruSeq mRNA-Seq Library Prep</t>
  </si>
  <si>
    <t xml:space="preserve">QuantSeq 3' mRNA-Seq Library Prep </t>
  </si>
  <si>
    <t>NGS Library Prep</t>
  </si>
  <si>
    <t>per Quarter Run</t>
  </si>
  <si>
    <t>150bp, PE, MT, 66 million reads</t>
  </si>
  <si>
    <t>150bp, PE, HT, 200 million reads</t>
  </si>
  <si>
    <t>75bp, PE, MT, 66 million reads</t>
  </si>
  <si>
    <t>75bp, Paired-End Reads, HT, 200 million reads</t>
  </si>
  <si>
    <t>150bp, SR, Mid-Throughput, 33 million reads</t>
  </si>
  <si>
    <t>150bp, SR, HT, 100 million reads</t>
  </si>
  <si>
    <t>75bp, Single Reads, High-Throughput, 100 million reads</t>
  </si>
  <si>
    <t>NextSeq 500 Sequencing</t>
  </si>
  <si>
    <t>per Flowcell</t>
  </si>
  <si>
    <t>2x250bp Sequencing, v2 Nano, 1 million reads</t>
  </si>
  <si>
    <t>1x300bp or 2x150bp Sequencing, v2 Nano, 1 million reads</t>
  </si>
  <si>
    <t>1x300bp or 2x150bp Sequencing, v2, Micro, 4 million reads</t>
  </si>
  <si>
    <t>2x250bp Sequencing, v2, 15 million reads</t>
  </si>
  <si>
    <t>1x300bp or 2x150 Sequencing, v2, 15 million reads</t>
  </si>
  <si>
    <t>1x50bp Sequencing, v2, 15 million reads</t>
  </si>
  <si>
    <t>1x300bp or 2x300bp Sequencing, v3, 25 million reads</t>
  </si>
  <si>
    <t>1x150bp or 2x75bp Sequencing, v3, 25 million reads</t>
  </si>
  <si>
    <t>MiSeq Sequencing</t>
  </si>
  <si>
    <t>per Lane</t>
  </si>
  <si>
    <t>150bp, PE, 600-800 million reads</t>
  </si>
  <si>
    <t>100bp, PE, 600-800 million reads</t>
  </si>
  <si>
    <t>50bp, Paired-End Reads, 600-800 million reads</t>
  </si>
  <si>
    <t>150bp, SR, 300-400 million reads</t>
  </si>
  <si>
    <t>100bp, SR, 300-400 million reads</t>
  </si>
  <si>
    <t>50bp, Single Reads, 300-400 million reads</t>
  </si>
  <si>
    <t>HiSeq 4000 Sequencing </t>
  </si>
  <si>
    <t>Training and Constutation</t>
  </si>
  <si>
    <t>Correlated Solutions DIC Rental</t>
  </si>
  <si>
    <t>/sample</t>
  </si>
  <si>
    <t>Impact Tester Rental</t>
  </si>
  <si>
    <t>System Rental</t>
  </si>
  <si>
    <t>Portable Test</t>
  </si>
  <si>
    <t>Tensile Testing Systems Rental</t>
  </si>
  <si>
    <t>Internal Rates</t>
  </si>
  <si>
    <t>Equipment Rental and Services</t>
  </si>
  <si>
    <t>per tube</t>
  </si>
  <si>
    <t>Poster tube</t>
  </si>
  <si>
    <t>per linear inch</t>
  </si>
  <si>
    <t>HP5500PS 42” Poster Printer</t>
  </si>
  <si>
    <t>Poster Printing</t>
  </si>
  <si>
    <t>Add On: Micromanipulators</t>
  </si>
  <si>
    <t>n/a</t>
  </si>
  <si>
    <t>Inverted Color Microscope</t>
  </si>
  <si>
    <t>Time Used</t>
  </si>
  <si>
    <t>Inverted Fluorescent Microscope</t>
  </si>
  <si>
    <t>Add On: SpectraPhysics MaiTai laser</t>
  </si>
  <si>
    <t>Zeiss LSM510 Inverted Confocal</t>
  </si>
  <si>
    <t>Assistance</t>
  </si>
  <si>
    <t>Overnight</t>
  </si>
  <si>
    <t>Evening &amp; Weekend</t>
  </si>
  <si>
    <t>Daytime (M-F)</t>
  </si>
  <si>
    <t>Instruments in CAMI in Silverman Hall</t>
  </si>
  <si>
    <t>Leica Brightfield Microscope</t>
  </si>
  <si>
    <t>Olympus BX53</t>
  </si>
  <si>
    <t>Leica DM6B Fluorescent Microscope</t>
  </si>
  <si>
    <t>Zeiss LSM510 Meta with FCS</t>
  </si>
  <si>
    <t>Deltavision Elite</t>
  </si>
  <si>
    <t>Add On: iLAS2 FRAP/TIRF module</t>
  </si>
  <si>
    <t>Leica SP5 Scanning Confocal</t>
  </si>
  <si>
    <t>Instruments in Hogan Hall</t>
  </si>
  <si>
    <t>Tera-Print M-series</t>
  </si>
  <si>
    <t>Bruker Photocurrent &amp; Thermal AFM</t>
  </si>
  <si>
    <t>HP DesignJet Z6200 42-in Poster Printer</t>
  </si>
  <si>
    <t>Gatan Double-Tilt Holder</t>
  </si>
  <si>
    <t>South Bay Technologies PC2000 Plasma Cleaner</t>
  </si>
  <si>
    <t>Gatan 691 Precision Ion Polishing System</t>
  </si>
  <si>
    <t>Fischione 1010 Ion Beam Thinning</t>
  </si>
  <si>
    <t>Specimen Preparation</t>
  </si>
  <si>
    <t>LEO Gemini 1525 Scanning Electron Microscope</t>
  </si>
  <si>
    <t>FEI Quanta 650FEG Environmental SEM</t>
  </si>
  <si>
    <t>Hitachi SU8030 Field Emission SEM</t>
  </si>
  <si>
    <t>Hitachi H8100 TEM</t>
  </si>
  <si>
    <t>JEOL JEM-ARM300CF 300kV TEM</t>
  </si>
  <si>
    <t>JEOL JEM-ARM200CF 200kV Cs-Corrected STEM</t>
  </si>
  <si>
    <t>Leica EM ACE600 High Vacuum Coater</t>
  </si>
  <si>
    <t>Leica UC7/FC7 (and UltraCut) Ultramicrotomes</t>
  </si>
  <si>
    <t>CryoTransfer Holder - JEOL or Hitachi (per run)</t>
  </si>
  <si>
    <t>Pella BioWave Microwave Processor</t>
  </si>
  <si>
    <t>Tousimis Critical Point Dryer</t>
  </si>
  <si>
    <t>Emitech K775X Turbo Freeze Dryer (per run)</t>
  </si>
  <si>
    <t>FEI Vitrobot Mark III or Mark IV Vitrification Robot (per run)</t>
  </si>
  <si>
    <t>Leica HPM100 High Pressure Freezer (per run)</t>
  </si>
  <si>
    <t>Leica EM-Pact2 High-pressure Freezer (per run)</t>
  </si>
  <si>
    <t>Leica AFS2 Freeze Substitution (per run)</t>
  </si>
  <si>
    <t>BioCryo Specimen Preparation</t>
  </si>
  <si>
    <t>Hitachi HD-2300 Dual EDS Cryo STEM</t>
  </si>
  <si>
    <t>JEOL JEM-1230 120 kV TEM</t>
  </si>
  <si>
    <t>Hitachi S4800-II cFEG Cryo-SEM (per run)</t>
  </si>
  <si>
    <t>BioCryo Imaging &amp; Analysis</t>
  </si>
  <si>
    <t>per unit</t>
  </si>
  <si>
    <t>Varies</t>
  </si>
  <si>
    <t>Shipping of Media</t>
  </si>
  <si>
    <t>Data Recovery Due to User Error</t>
  </si>
  <si>
    <t>Jewel Cases</t>
  </si>
  <si>
    <t>DVD+/-R</t>
  </si>
  <si>
    <t>CD-R</t>
  </si>
  <si>
    <t>Glass Cell</t>
  </si>
  <si>
    <t>Microtip-array</t>
  </si>
  <si>
    <t>Copper Crimps</t>
  </si>
  <si>
    <t>Consumables, Materials and One Time Costs</t>
  </si>
  <si>
    <t>Arc Melter AM0.5</t>
  </si>
  <si>
    <t>Per Hour</t>
  </si>
  <si>
    <t>per 1 TB</t>
  </si>
  <si>
    <t>Quest Storage Service</t>
  </si>
  <si>
    <t>QUEST</t>
  </si>
  <si>
    <t>Date</t>
  </si>
  <si>
    <t>Description</t>
  </si>
  <si>
    <t>Added changelog, updated GSA rates</t>
  </si>
  <si>
    <t>M&amp;IE is charged at 75% on the first and last days of travel per Northwestern policy.</t>
  </si>
  <si>
    <t>Agency for Healthcare Research and Quality (AHRQ)</t>
  </si>
  <si>
    <t>Agency for Healthcare Research and Quality</t>
  </si>
  <si>
    <t>AHRQ</t>
  </si>
  <si>
    <t>Agency for Toxic Substances and Disease Registry (ATSDR)</t>
  </si>
  <si>
    <t>Agency for Toxic Substances and Disease Registry</t>
  </si>
  <si>
    <t>ATSDR</t>
  </si>
  <si>
    <t>Centers for Disease Control and Prevention (CDC)</t>
  </si>
  <si>
    <t>Centers for Disease Control and Prevention</t>
  </si>
  <si>
    <t>Centers for Disease Control</t>
  </si>
  <si>
    <t>CDC</t>
  </si>
  <si>
    <t>Food and Drug Administration (FDA)</t>
  </si>
  <si>
    <t>Food and Drug Administration</t>
  </si>
  <si>
    <t>FDA</t>
  </si>
  <si>
    <t>Centers for Medicare and Medicaid Services (CMS)</t>
  </si>
  <si>
    <t>Centers for Medicare and Medicaid Services</t>
  </si>
  <si>
    <t>CMS</t>
  </si>
  <si>
    <t>Indian Health Service (IHS)</t>
  </si>
  <si>
    <t>Indian Health Service</t>
  </si>
  <si>
    <t>IHS</t>
  </si>
  <si>
    <t>Office of the Assistant Secretary for Health (ASH)</t>
  </si>
  <si>
    <t>Office of the Assistant Secretary for Health</t>
  </si>
  <si>
    <t>ASH</t>
  </si>
  <si>
    <t>Office of the Secretary</t>
  </si>
  <si>
    <t>Program Support Center</t>
  </si>
  <si>
    <t>PSC</t>
  </si>
  <si>
    <t>Program Support Center (PSC)</t>
  </si>
  <si>
    <t>Substance Abuse and Mental Health Services Administration (SAMHSA)</t>
  </si>
  <si>
    <t>Substance Abuse and Mental Health Services Administration</t>
  </si>
  <si>
    <t>SAMHSA</t>
  </si>
  <si>
    <t>Office of the Assistant Secretary for Preparedness and Response</t>
  </si>
  <si>
    <t>ASPR</t>
  </si>
  <si>
    <t>Office of the Assistant Secretary for Preparedness and Response (ASPR)</t>
  </si>
  <si>
    <t>Updated HHS under Exc. II salary cap</t>
  </si>
  <si>
    <t>If NIH Salary Cap changes, update here.</t>
  </si>
  <si>
    <t>←</t>
  </si>
  <si>
    <t>NIH or other Sponsors using the HHS Salary Cap</t>
  </si>
  <si>
    <t>HHS Cap</t>
  </si>
  <si>
    <t>Professor ABC’s salary currently exceeds the HHS salary cap per recent guidelines. Professor ABC’s direct salary in this application has been restricted according to Executive Level II of the Federal Pay Scale.</t>
  </si>
  <si>
    <t>Updated Facility rate tables</t>
  </si>
  <si>
    <t>Other Sponsors using the HHS salary cap</t>
  </si>
  <si>
    <t>Other Agencies under the HHS using the salary cap</t>
  </si>
  <si>
    <t xml:space="preserve">Version </t>
  </si>
  <si>
    <t>Updated justification boilerplate language</t>
  </si>
  <si>
    <t>FINAL</t>
  </si>
  <si>
    <t>Updated Tuition for FY19</t>
  </si>
  <si>
    <t>Publication Costs: Support is requested to cover the cost of publications each year for # years.</t>
  </si>
  <si>
    <t>Minor fixes to budget justification</t>
  </si>
  <si>
    <t>Updated to DHHS rate agreement 6/22/2018</t>
  </si>
  <si>
    <t>changed colors on cost share tab</t>
  </si>
  <si>
    <t>Updated 'Estimated' to 'provisional in justification</t>
  </si>
  <si>
    <t># graduate student’s salary is requested each year for # years and is inflated by # each September. The Graduate School (TGS) has set FY 2020 PhD student Minimum Stipend Rates at $2,737 per month ($32,844 per year). The graduate student will …</t>
  </si>
  <si>
    <t>Added base salary rate for graduate students FY20</t>
  </si>
  <si>
    <t>NIH Recommended Stipend Levels</t>
  </si>
  <si>
    <t>Notice Number: NOT-OD-18-175</t>
  </si>
  <si>
    <t>Career Level</t>
  </si>
  <si>
    <t>Monthly Stipend</t>
  </si>
  <si>
    <t>Freshmen/Sophomores</t>
  </si>
  <si>
    <t>Juniors/Seniors</t>
  </si>
  <si>
    <t>FY 2018</t>
  </si>
  <si>
    <t>Predoctoral</t>
  </si>
  <si>
    <t>Postdoctoral</t>
  </si>
  <si>
    <t>7 or More</t>
  </si>
  <si>
    <t>Added NIH recommended stipends to rate tables</t>
  </si>
  <si>
    <t>Tuition: Support is requested to cover the cost of graduate student tuition each year for # years and is inflated #% each University fiscal year starting in September. Fiscal Year 2020's quarterly PI rate is $3,867. Total tuition requested in Budget Period # is $.</t>
  </si>
  <si>
    <t>FY 2020 TGS Rates</t>
  </si>
  <si>
    <t>Annual</t>
  </si>
  <si>
    <t>Full Tuition</t>
  </si>
  <si>
    <t>Adv. tuition</t>
  </si>
  <si>
    <t>PI rate</t>
  </si>
  <si>
    <t>Full RAS</t>
  </si>
  <si>
    <t>Adv. RAS</t>
  </si>
  <si>
    <t>Monthly</t>
  </si>
  <si>
    <t>Stipend</t>
  </si>
  <si>
    <t>Per NOT-OD-19-099, increased EX2 cap to $192,300</t>
  </si>
  <si>
    <t>Appointment months</t>
  </si>
  <si>
    <t>Professor McCormick</t>
  </si>
  <si>
    <r>
      <t>Appointment Type
(</t>
    </r>
    <r>
      <rPr>
        <sz val="8"/>
        <color rgb="FF0070C0"/>
        <rFont val="Garamond"/>
        <family val="1"/>
      </rPr>
      <t>3</t>
    </r>
    <r>
      <rPr>
        <sz val="8"/>
        <rFont val="Garamond"/>
        <family val="1"/>
      </rPr>
      <t xml:space="preserve">, </t>
    </r>
    <r>
      <rPr>
        <sz val="8"/>
        <color rgb="FF0070C0"/>
        <rFont val="Garamond"/>
        <family val="1"/>
      </rPr>
      <t>9</t>
    </r>
    <r>
      <rPr>
        <sz val="8"/>
        <rFont val="Garamond"/>
        <family val="1"/>
      </rPr>
      <t xml:space="preserve">, </t>
    </r>
    <r>
      <rPr>
        <sz val="8"/>
        <color rgb="FFFF0000"/>
        <rFont val="Garamond"/>
        <family val="1"/>
      </rPr>
      <t>10</t>
    </r>
    <r>
      <rPr>
        <sz val="8"/>
        <rFont val="Garamond"/>
        <family val="1"/>
      </rPr>
      <t xml:space="preserve">, </t>
    </r>
    <r>
      <rPr>
        <sz val="8"/>
        <color rgb="FFFF0000"/>
        <rFont val="Garamond"/>
        <family val="1"/>
      </rPr>
      <t>11</t>
    </r>
    <r>
      <rPr>
        <sz val="8"/>
        <rFont val="Garamond"/>
        <family val="1"/>
      </rPr>
      <t xml:space="preserve">, </t>
    </r>
    <r>
      <rPr>
        <sz val="8"/>
        <color rgb="FFFF0000"/>
        <rFont val="Garamond"/>
        <family val="1"/>
      </rPr>
      <t>12</t>
    </r>
    <r>
      <rPr>
        <sz val="8"/>
        <rFont val="Garamond"/>
        <family val="1"/>
      </rPr>
      <t xml:space="preserve"> months)</t>
    </r>
  </si>
  <si>
    <t>Per Solicitation requirement, hourly rates approximations are provided. Northwestern University does not bill, pay, or track effort by the hour. Records are maintained by personnel survey reports using percentage of effort in accordance with 2 CFR Part 200.</t>
  </si>
  <si>
    <t>Updated Justification to include language for PAPPG 20-1</t>
  </si>
  <si>
    <t>Updated fringe benefit rates for FY2020; updated Justification fringe benefit rates blank/populate logic; added if/then logic for "Total NU Direct Costs and Subaward Direct Costs"</t>
  </si>
  <si>
    <t>Updated Fringe Benefits language</t>
  </si>
  <si>
    <t>Updated fringe calculations</t>
  </si>
  <si>
    <t>Updated to DHHS rate agreement 09/20/2019</t>
  </si>
  <si>
    <t>Updated non-federal rates</t>
  </si>
  <si>
    <t>- Use the filter to the right for additional rows for personnel, equipment, and/or subks.
- Use the +/- icon above to hide/unhide the cost-share columns.
- Enter information (names, amounts, justifications, etc.) in the white cells. These entries will drive the calculations of the Budget and the descriptions will drive the text for the Budget Justification. Most outyear calculations will auto-populate based on BP1 entries.
- Unhide Column T to the right for examples of justification entries.
- Appointment Type and Person-Months are required for salary calculations. Summer appointments should get their own row.
- Sponsor is required for NIH cap calculations. Some non-NIH sponsors who also use the NIH cap that we are aware of have been included to the best of our ability.
- F&amp;A types can be updated by selecting the proper cells to the left. Template calculates at blended rates (see 'Lists' tab).
- Subaward Calculator should be used for subaward budgets.
- Travel Calculator can be used for more exact travel calculations (lodging, M&amp;IE, etc.). 
- Appendices have more information such as boilerplate budget justification text, labor hour calculations, and facilities rates.</t>
  </si>
  <si>
    <t>Fixed predetermine/provisional F&amp;A language in Budget Justification</t>
  </si>
  <si>
    <t>Fixed Cumulative Budget not adding in extra non-key personnel in L41 and L42</t>
  </si>
  <si>
    <t>Updated GSA base rates</t>
  </si>
  <si>
    <t>Updated Tuition for FY21</t>
  </si>
  <si>
    <t>Updated language and updated Tuition for FY20</t>
  </si>
  <si>
    <t>Removed AHA from salary cap.</t>
  </si>
  <si>
    <t>Effective January 5, 2020 (Executive Level II)</t>
  </si>
  <si>
    <t>Notice Number: NOT-OD-20-065</t>
  </si>
  <si>
    <t>Per NOT-OD-20-065, increased EX2 cap to $197,300</t>
  </si>
  <si>
    <t>Indirect Costs:</t>
  </si>
  <si>
    <t>750 N. Lake Shore Drive</t>
  </si>
  <si>
    <t>Rubloff 7th Floor</t>
  </si>
  <si>
    <t>Chicago</t>
  </si>
  <si>
    <t>60611-4579</t>
  </si>
  <si>
    <t>Updated fringe benefit rates for FY21; updated Justification fringe benefit rates blank/populate logic; updated Grants.gov info</t>
  </si>
  <si>
    <t>Updated defaulted start date and GSA base rate</t>
  </si>
  <si>
    <t>Updated Tuition for FY22 and noted FY22 stipend rate</t>
  </si>
  <si>
    <t>Per NOT-HS-21-007, increased EX2 cap to $199,300</t>
  </si>
  <si>
    <t>Shandra S. White, Executive Director</t>
  </si>
  <si>
    <t>SponsoredResearch@northwestern.edu</t>
  </si>
  <si>
    <t>https://www.northwestern.edu/coststudies/fa.html</t>
  </si>
  <si>
    <t>Updated fringe benefit rates for FY22; updated Justification fringe benefit rates; updated Grants.gov info</t>
  </si>
  <si>
    <t>Per central office clarification, updated fringe benefit rates for FY23 and beyond to use provisional rates in rate agreement; updated Justification fringe benefit rates; updated Justification NSF's fiscal year language blank/populate logic</t>
  </si>
  <si>
    <t>Northwestern - Cash Cost-Share</t>
  </si>
  <si>
    <t>Northwestern - Fellowship Quarters</t>
  </si>
  <si>
    <t>Updated Tuition for FY23 and noted FY23 stipend rate</t>
  </si>
  <si>
    <t>Added cash and fellowship cost-share info to Summary to be more useful for reviewing totals and amounts</t>
  </si>
  <si>
    <t>Updated effort tables to keep as numbers rather than text on the summary sheets, also made a separate effort summary sheet</t>
  </si>
  <si>
    <t>Per NOT-OD-22-076, increased EX2 cap to $203,700</t>
  </si>
  <si>
    <t>Updated base per diem rate</t>
  </si>
  <si>
    <t>Printing to PDF updates only</t>
  </si>
  <si>
    <t>Total Sponsor Costs</t>
  </si>
  <si>
    <t>Northwestern Sponsor Costs</t>
  </si>
  <si>
    <t>Added NU only sponsor amount and NU only cost-share amount rows for cost-sharing clarifications</t>
  </si>
  <si>
    <t>Updated fringe benefit rates for FY23; updated Justification fringe benefit rates</t>
  </si>
  <si>
    <t>Total Northwestern Cost-Share</t>
  </si>
  <si>
    <t>Northwestern - Faculty In Kind</t>
  </si>
  <si>
    <t>Northwestern - Unrecovered F&amp;A</t>
  </si>
  <si>
    <t>Included cost-share summary rows for easier review</t>
  </si>
  <si>
    <t>Northwestern - Fellowships Total</t>
  </si>
  <si>
    <t xml:space="preserve">     Graduate Student Salary</t>
  </si>
  <si>
    <t xml:space="preserve">     Graduate Student Fringe</t>
  </si>
  <si>
    <t xml:space="preserve">     Graduate Student Tuition</t>
  </si>
  <si>
    <t>Miscellenaous minor formula corrections (e.g., outyears pulling from previous year rather than BP1 and cost-share summary rows adding all BPs)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</si>
</sst>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9">
    <numFmt numFmtId="5" formatCode="&quot;$&quot;#,##0_);\(&quot;$&quot;#,##0\)"/>
    <numFmt numFmtId="6" formatCode="&quot;$&quot;#,##0_);[Red]\(&quot;$&quot;#,##0\)"/>
    <numFmt numFmtId="8" formatCode="&quot;$&quot;#,##0.00_);[Red]\(&quot;$&quot;#,##0.00\)"/>
    <numFmt numFmtId="42" formatCode="_(&quot;$&quot;* #,##0_);_(&quot;$&quot;* \(#,##0\);_(&quot;$&quot;* &quot;-&quot;_);_(@_)"/>
    <numFmt numFmtId="44" formatCode="_(&quot;$&quot;* #,##0.00_);_(&quot;$&quot;* \(#,##0.00\);_(&quot;$&quot;* &quot;-&quot;??_);_(@_)"/>
    <numFmt numFmtId="164" formatCode="0.000%"/>
    <numFmt numFmtId="165" formatCode="0."/>
    <numFmt numFmtId="166" formatCode="&quot;$&quot;#,##0"/>
    <numFmt numFmtId="167" formatCode="&quot;$&quot;#,##0.0"/>
    <numFmt numFmtId="168" formatCode="mmmm\ d\,\ yyyy"/>
    <numFmt numFmtId="169" formatCode="[$-409]mmmm\ d\,\ yyyy;@"/>
    <numFmt numFmtId="170" formatCode="0.0000"/>
    <numFmt numFmtId="171" formatCode="&quot;$&quot;#,##0.00"/>
    <numFmt numFmtId="172" formatCode="0\ &quot;Months&quot;"/>
    <numFmt numFmtId="173" formatCode="0;\-0;;@"/>
    <numFmt numFmtId="174" formatCode="&quot;$&quot;#,##0;\-0;;@"/>
    <numFmt numFmtId="175" formatCode="&quot;Budget Period&quot;\ 0"/>
    <numFmt numFmtId="176" formatCode="_(&quot;$&quot;* #,##0_);_(&quot;$&quot;* \(#,##0\);_(&quot;$&quot;* &quot;-&quot;??_);_(@_)"/>
    <numFmt numFmtId="177" formatCode="0\ &quot;Quarters&quot;"/>
  </numFmts>
  <fonts count="114">
    <font>
      <sz val="10"/>
      <name val="Geneva"/>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b/>
      <sz val="10"/>
      <name val="Geneva"/>
      <family val="2"/>
    </font>
    <font>
      <sz val="10"/>
      <name val="Geneva"/>
      <family val="2"/>
    </font>
    <font>
      <sz val="10"/>
      <name val="Times"/>
      <family val="1"/>
    </font>
    <font>
      <sz val="10"/>
      <name val="Helv"/>
    </font>
    <font>
      <sz val="6"/>
      <name val="Geneva"/>
      <family val="2"/>
    </font>
    <font>
      <u/>
      <sz val="10"/>
      <color indexed="12"/>
      <name val="Geneva"/>
      <family val="2"/>
    </font>
    <font>
      <b/>
      <sz val="12"/>
      <name val="Garamond"/>
      <family val="1"/>
    </font>
    <font>
      <sz val="10"/>
      <name val="Garamond"/>
      <family val="1"/>
    </font>
    <font>
      <sz val="6"/>
      <name val="Garamond"/>
      <family val="1"/>
    </font>
    <font>
      <sz val="8"/>
      <name val="Garamond"/>
      <family val="1"/>
    </font>
    <font>
      <sz val="9"/>
      <name val="Garamond"/>
      <family val="1"/>
    </font>
    <font>
      <b/>
      <sz val="10"/>
      <name val="Garamond"/>
      <family val="1"/>
    </font>
    <font>
      <sz val="11"/>
      <name val="Garamond"/>
      <family val="1"/>
    </font>
    <font>
      <sz val="10"/>
      <name val="Arial"/>
      <family val="2"/>
    </font>
    <font>
      <b/>
      <sz val="10"/>
      <name val="Arial"/>
      <family val="2"/>
    </font>
    <font>
      <sz val="9"/>
      <name val="Arial"/>
      <family val="2"/>
    </font>
    <font>
      <sz val="9"/>
      <color indexed="20"/>
      <name val="Arial"/>
      <family val="2"/>
    </font>
    <font>
      <b/>
      <sz val="9"/>
      <name val="Arial"/>
      <family val="2"/>
    </font>
    <font>
      <sz val="8"/>
      <name val="Helv"/>
    </font>
    <font>
      <sz val="11"/>
      <name val="Arial"/>
      <family val="2"/>
    </font>
    <font>
      <b/>
      <sz val="11"/>
      <name val="Arial"/>
      <family val="2"/>
    </font>
    <font>
      <i/>
      <sz val="11"/>
      <name val="Arial"/>
      <family val="2"/>
    </font>
    <font>
      <b/>
      <sz val="12"/>
      <name val="Geneva"/>
      <family val="2"/>
    </font>
    <font>
      <b/>
      <u/>
      <sz val="10"/>
      <name val="Geneva"/>
      <family val="2"/>
    </font>
    <font>
      <b/>
      <sz val="8"/>
      <name val="Garamond"/>
      <family val="1"/>
    </font>
    <font>
      <sz val="9"/>
      <color indexed="8"/>
      <name val="Arial"/>
      <family val="2"/>
    </font>
    <font>
      <u/>
      <sz val="9"/>
      <color indexed="8"/>
      <name val="Arial"/>
      <family val="2"/>
    </font>
    <font>
      <sz val="8"/>
      <name val="Geneva"/>
      <family val="2"/>
    </font>
    <font>
      <sz val="12"/>
      <name val="Garamond"/>
      <family val="1"/>
    </font>
    <font>
      <b/>
      <sz val="11"/>
      <name val="Garamond"/>
      <family val="1"/>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1"/>
      <color indexed="8"/>
      <name val="Arial"/>
      <family val="2"/>
    </font>
    <font>
      <sz val="10"/>
      <name val="Geneva"/>
      <family val="2"/>
    </font>
    <font>
      <b/>
      <sz val="9"/>
      <color rgb="FFFF0000"/>
      <name val="Arial"/>
      <family val="2"/>
    </font>
    <font>
      <sz val="10"/>
      <color rgb="FFFF0000"/>
      <name val="Garamond"/>
      <family val="1"/>
    </font>
    <font>
      <u/>
      <sz val="11"/>
      <name val="Arial"/>
      <family val="2"/>
    </font>
    <font>
      <sz val="10"/>
      <color theme="0"/>
      <name val="Geneva"/>
      <family val="2"/>
    </font>
    <font>
      <b/>
      <sz val="10"/>
      <color rgb="FFFF0000"/>
      <name val="Geneva"/>
      <family val="2"/>
    </font>
    <font>
      <sz val="12"/>
      <color theme="0"/>
      <name val="Garamond"/>
      <family val="1"/>
    </font>
    <font>
      <b/>
      <sz val="6"/>
      <color rgb="FFFF0000"/>
      <name val="Garamond"/>
      <family val="1"/>
    </font>
    <font>
      <b/>
      <sz val="6"/>
      <color rgb="FF0070C0"/>
      <name val="Garamond"/>
      <family val="1"/>
    </font>
    <font>
      <b/>
      <sz val="10"/>
      <color rgb="FFFF0000"/>
      <name val="Garamond"/>
      <family val="1"/>
    </font>
    <font>
      <sz val="8"/>
      <color theme="0" tint="-4.9989318521683403E-2"/>
      <name val="Garamond"/>
      <family val="1"/>
    </font>
    <font>
      <b/>
      <sz val="8"/>
      <color rgb="FFFF0000"/>
      <name val="Garamond"/>
      <family val="1"/>
    </font>
    <font>
      <b/>
      <sz val="14"/>
      <name val="Garamond"/>
      <family val="1"/>
    </font>
    <font>
      <b/>
      <sz val="8"/>
      <color rgb="FFFF0000"/>
      <name val="Geneva"/>
      <family val="2"/>
    </font>
    <font>
      <sz val="11"/>
      <name val="Geneva"/>
      <family val="2"/>
    </font>
    <font>
      <u/>
      <sz val="11"/>
      <name val="Geneva"/>
      <family val="2"/>
    </font>
    <font>
      <sz val="8"/>
      <color rgb="FF0070C0"/>
      <name val="Garamond"/>
      <family val="1"/>
    </font>
    <font>
      <sz val="8"/>
      <color rgb="FFFF0000"/>
      <name val="Garamond"/>
      <family val="1"/>
    </font>
    <font>
      <b/>
      <sz val="6"/>
      <color rgb="FF7030A0"/>
      <name val="Garamond"/>
      <family val="1"/>
    </font>
    <font>
      <b/>
      <sz val="12"/>
      <color rgb="FFFF0000"/>
      <name val="Garamond"/>
      <family val="1"/>
    </font>
    <font>
      <sz val="12"/>
      <color rgb="FFFF0000"/>
      <name val="Garamond"/>
      <family val="1"/>
    </font>
    <font>
      <b/>
      <sz val="6"/>
      <name val="Garamond"/>
      <family val="1"/>
    </font>
    <font>
      <b/>
      <sz val="11"/>
      <color theme="1"/>
      <name val="Calibri"/>
      <family val="2"/>
      <scheme val="minor"/>
    </font>
    <font>
      <i/>
      <sz val="11"/>
      <color theme="1"/>
      <name val="Calibri"/>
      <family val="2"/>
      <scheme val="minor"/>
    </font>
    <font>
      <i/>
      <sz val="11"/>
      <name val="Calibri"/>
      <family val="2"/>
      <scheme val="minor"/>
    </font>
    <font>
      <b/>
      <sz val="11"/>
      <color theme="8"/>
      <name val="Calibri"/>
      <family val="2"/>
      <scheme val="minor"/>
    </font>
    <font>
      <b/>
      <i/>
      <sz val="11"/>
      <name val="Calibri"/>
      <family val="2"/>
      <scheme val="minor"/>
    </font>
    <font>
      <u/>
      <sz val="11"/>
      <color theme="10"/>
      <name val="Calibri"/>
      <family val="2"/>
      <scheme val="minor"/>
    </font>
    <font>
      <sz val="11"/>
      <name val="Calibri"/>
      <family val="2"/>
      <scheme val="minor"/>
    </font>
    <font>
      <b/>
      <sz val="24"/>
      <color rgb="FFFF0000"/>
      <name val="Garamond"/>
      <family val="1"/>
    </font>
    <font>
      <b/>
      <sz val="10"/>
      <name val="Geneva"/>
    </font>
    <font>
      <b/>
      <sz val="10"/>
      <color theme="0"/>
      <name val="Geneva"/>
    </font>
    <font>
      <sz val="11"/>
      <color theme="0"/>
      <name val="Garamond"/>
      <family val="1"/>
    </font>
    <font>
      <b/>
      <sz val="14"/>
      <name val="Arial"/>
      <family val="2"/>
    </font>
    <font>
      <b/>
      <sz val="10"/>
      <color rgb="FF0070C0"/>
      <name val="Garamond"/>
      <family val="1"/>
    </font>
    <font>
      <b/>
      <sz val="10"/>
      <color rgb="FFFF0000"/>
      <name val="Geneva"/>
    </font>
    <font>
      <b/>
      <sz val="16"/>
      <color rgb="FFFF0000"/>
      <name val="Garamond"/>
      <family val="1"/>
    </font>
    <font>
      <b/>
      <sz val="8"/>
      <color rgb="FF0070C0"/>
      <name val="Garamond"/>
      <family val="1"/>
    </font>
    <font>
      <sz val="11"/>
      <color theme="1"/>
      <name val="Times New Roman"/>
      <family val="1"/>
    </font>
    <font>
      <sz val="11"/>
      <color theme="1"/>
      <name val="Comic Sans MS"/>
      <family val="4"/>
    </font>
    <font>
      <b/>
      <sz val="11"/>
      <color theme="1"/>
      <name val="Times New Roman"/>
      <family val="1"/>
    </font>
    <font>
      <sz val="11"/>
      <name val="Times New Roman"/>
      <family val="1"/>
    </font>
    <font>
      <b/>
      <u/>
      <sz val="11"/>
      <color rgb="FF0070C0"/>
      <name val="Times New Roman"/>
      <family val="1"/>
    </font>
    <font>
      <b/>
      <sz val="24"/>
      <color theme="1"/>
      <name val="Times New Roman"/>
      <family val="1"/>
    </font>
    <font>
      <b/>
      <sz val="11"/>
      <color rgb="FFFF0000"/>
      <name val="Times New Roman"/>
      <family val="1"/>
    </font>
    <font>
      <sz val="10"/>
      <color theme="1"/>
      <name val="Times New Roman"/>
      <family val="1"/>
    </font>
    <font>
      <sz val="11"/>
      <color theme="0"/>
      <name val="Times New Roman"/>
      <family val="1"/>
    </font>
    <font>
      <u/>
      <sz val="11"/>
      <color theme="1"/>
      <name val="Comic Sans MS"/>
      <family val="4"/>
    </font>
    <font>
      <b/>
      <sz val="9"/>
      <name val="Garamond"/>
      <family val="1"/>
    </font>
    <font>
      <sz val="9"/>
      <color theme="1"/>
      <name val="Garamond"/>
      <family val="1"/>
    </font>
    <font>
      <b/>
      <sz val="11"/>
      <color theme="1"/>
      <name val="Garamond"/>
      <family val="1"/>
    </font>
    <font>
      <sz val="11"/>
      <name val="Geneva"/>
    </font>
    <font>
      <b/>
      <sz val="11"/>
      <name val="Geneva"/>
    </font>
    <font>
      <b/>
      <sz val="11"/>
      <name val="Geneva"/>
      <family val="2"/>
    </font>
    <font>
      <u/>
      <sz val="10"/>
      <color theme="10"/>
      <name val="Geneva"/>
    </font>
    <font>
      <u/>
      <sz val="11"/>
      <color theme="10"/>
      <name val="Arial"/>
      <family val="2"/>
    </font>
    <font>
      <sz val="10"/>
      <name val="Calibri"/>
      <family val="2"/>
    </font>
    <font>
      <sz val="8"/>
      <color theme="1"/>
      <name val="Garamond"/>
      <family val="1"/>
    </font>
    <font>
      <sz val="10"/>
      <color theme="0"/>
      <name val="Geneva"/>
    </font>
    <font>
      <sz val="10"/>
      <color rgb="FF0070C0"/>
      <name val="Garamond"/>
      <family val="1"/>
    </font>
    <font>
      <sz val="10"/>
      <color rgb="FF7030A0"/>
      <name val="Garamond"/>
      <family val="1"/>
    </font>
  </fonts>
  <fills count="45">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22"/>
        <bgColor indexed="64"/>
      </patternFill>
    </fill>
    <fill>
      <patternFill patternType="solid">
        <fgColor indexed="46"/>
        <bgColor indexed="64"/>
      </patternFill>
    </fill>
    <fill>
      <patternFill patternType="solid">
        <fgColor indexed="43"/>
        <bgColor indexed="64"/>
      </patternFill>
    </fill>
    <fill>
      <patternFill patternType="solid">
        <fgColor indexed="47"/>
        <bgColor indexed="64"/>
      </patternFill>
    </fill>
    <fill>
      <patternFill patternType="solid">
        <fgColor theme="0" tint="-0.14996795556505021"/>
        <bgColor indexed="64"/>
      </patternFill>
    </fill>
    <fill>
      <patternFill patternType="solid">
        <fgColor theme="0" tint="-0.14999847407452621"/>
        <bgColor indexed="64"/>
      </patternFill>
    </fill>
    <fill>
      <patternFill patternType="solid">
        <fgColor rgb="FF92D050"/>
        <bgColor indexed="64"/>
      </patternFill>
    </fill>
    <fill>
      <patternFill patternType="solid">
        <fgColor rgb="FFFFC000"/>
        <bgColor indexed="64"/>
      </patternFill>
    </fill>
    <fill>
      <patternFill patternType="solid">
        <fgColor theme="0" tint="-4.9989318521683403E-2"/>
        <bgColor indexed="64"/>
      </patternFill>
    </fill>
    <fill>
      <patternFill patternType="solid">
        <fgColor theme="5" tint="0.79998168889431442"/>
        <bgColor indexed="64"/>
      </patternFill>
    </fill>
    <fill>
      <patternFill patternType="solid">
        <fgColor theme="0"/>
        <bgColor indexed="64"/>
      </patternFill>
    </fill>
    <fill>
      <patternFill patternType="solid">
        <fgColor theme="7" tint="0.59999389629810485"/>
        <bgColor indexed="64"/>
      </patternFill>
    </fill>
    <fill>
      <patternFill patternType="solid">
        <fgColor theme="9" tint="0.59999389629810485"/>
        <bgColor indexed="64"/>
      </patternFill>
    </fill>
    <fill>
      <patternFill patternType="solid">
        <fgColor theme="6" tint="0.59999389629810485"/>
        <bgColor indexed="64"/>
      </patternFill>
    </fill>
    <fill>
      <patternFill patternType="solid">
        <fgColor theme="4" tint="0.79998168889431442"/>
        <bgColor indexed="64"/>
      </patternFill>
    </fill>
    <fill>
      <patternFill patternType="solid">
        <fgColor theme="7" tint="0.79998168889431442"/>
        <bgColor indexed="64"/>
      </patternFill>
    </fill>
    <fill>
      <patternFill patternType="solid">
        <fgColor theme="7" tint="0.39997558519241921"/>
        <bgColor indexed="64"/>
      </patternFill>
    </fill>
    <fill>
      <patternFill patternType="solid">
        <fgColor indexed="65"/>
        <bgColor indexed="64"/>
      </patternFill>
    </fill>
    <fill>
      <patternFill patternType="solid">
        <fgColor theme="6" tint="0.79998168889431442"/>
        <bgColor indexed="64"/>
      </patternFill>
    </fill>
    <fill>
      <patternFill patternType="gray125">
        <bgColor theme="7" tint="0.39991454817346722"/>
      </patternFill>
    </fill>
    <fill>
      <patternFill patternType="gray125">
        <bgColor theme="7" tint="0.79998168889431442"/>
      </patternFill>
    </fill>
  </fills>
  <borders count="123">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bottom/>
      <diagonal/>
    </border>
    <border>
      <left/>
      <right style="thin">
        <color indexed="64"/>
      </right>
      <top/>
      <bottom/>
      <diagonal/>
    </border>
    <border>
      <left style="thin">
        <color indexed="64"/>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thin">
        <color indexed="64"/>
      </left>
      <right style="thin">
        <color indexed="64"/>
      </right>
      <top style="thin">
        <color indexed="64"/>
      </top>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medium">
        <color indexed="64"/>
      </top>
      <bottom style="medium">
        <color indexed="64"/>
      </bottom>
      <diagonal/>
    </border>
    <border>
      <left/>
      <right/>
      <top style="thin">
        <color indexed="64"/>
      </top>
      <bottom style="medium">
        <color indexed="64"/>
      </bottom>
      <diagonal/>
    </border>
    <border>
      <left style="thin">
        <color theme="0" tint="-0.24994659260841701"/>
      </left>
      <right/>
      <top style="thin">
        <color theme="0" tint="-0.24994659260841701"/>
      </top>
      <bottom/>
      <diagonal/>
    </border>
    <border>
      <left/>
      <right/>
      <top style="thin">
        <color theme="0" tint="-0.24994659260841701"/>
      </top>
      <bottom/>
      <diagonal/>
    </border>
    <border>
      <left/>
      <right style="thin">
        <color theme="0" tint="-0.24994659260841701"/>
      </right>
      <top style="thin">
        <color theme="0" tint="-0.24994659260841701"/>
      </top>
      <bottom/>
      <diagonal/>
    </border>
    <border>
      <left style="thin">
        <color theme="0" tint="-0.24994659260841701"/>
      </left>
      <right/>
      <top/>
      <bottom/>
      <diagonal/>
    </border>
    <border>
      <left/>
      <right style="thin">
        <color theme="0" tint="-0.24994659260841701"/>
      </right>
      <top/>
      <bottom/>
      <diagonal/>
    </border>
    <border>
      <left style="medium">
        <color indexed="64"/>
      </left>
      <right/>
      <top style="thin">
        <color indexed="64"/>
      </top>
      <bottom/>
      <diagonal/>
    </border>
    <border>
      <left style="medium">
        <color indexed="64"/>
      </left>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medium">
        <color indexed="64"/>
      </right>
      <top/>
      <bottom/>
      <diagonal/>
    </border>
    <border>
      <left/>
      <right style="thin">
        <color indexed="64"/>
      </right>
      <top/>
      <bottom style="medium">
        <color indexed="64"/>
      </bottom>
      <diagonal/>
    </border>
    <border>
      <left style="thin">
        <color indexed="64"/>
      </left>
      <right style="medium">
        <color indexed="64"/>
      </right>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medium">
        <color indexed="64"/>
      </top>
      <bottom style="double">
        <color indexed="64"/>
      </bottom>
      <diagonal/>
    </border>
    <border>
      <left/>
      <right/>
      <top style="medium">
        <color indexed="64"/>
      </top>
      <bottom style="double">
        <color indexed="64"/>
      </bottom>
      <diagonal/>
    </border>
    <border>
      <left/>
      <right style="medium">
        <color indexed="64"/>
      </right>
      <top style="medium">
        <color indexed="64"/>
      </top>
      <bottom style="double">
        <color indexed="64"/>
      </bottom>
      <diagonal/>
    </border>
    <border>
      <left style="medium">
        <color indexed="64"/>
      </left>
      <right/>
      <top style="double">
        <color indexed="64"/>
      </top>
      <bottom/>
      <diagonal/>
    </border>
    <border>
      <left/>
      <right/>
      <top style="double">
        <color indexed="64"/>
      </top>
      <bottom/>
      <diagonal/>
    </border>
    <border>
      <left/>
      <right style="medium">
        <color indexed="64"/>
      </right>
      <top style="double">
        <color indexed="64"/>
      </top>
      <bottom/>
      <diagonal/>
    </border>
    <border>
      <left style="medium">
        <color indexed="64"/>
      </left>
      <right/>
      <top/>
      <bottom style="thin">
        <color indexed="64"/>
      </bottom>
      <diagonal/>
    </border>
    <border>
      <left/>
      <right style="medium">
        <color indexed="64"/>
      </right>
      <top style="thin">
        <color indexed="64"/>
      </top>
      <bottom style="double">
        <color indexed="64"/>
      </bottom>
      <diagonal/>
    </border>
    <border>
      <left style="hair">
        <color indexed="64"/>
      </left>
      <right style="medium">
        <color indexed="64"/>
      </right>
      <top style="hair">
        <color indexed="64"/>
      </top>
      <bottom style="hair">
        <color indexed="64"/>
      </bottom>
      <diagonal/>
    </border>
    <border>
      <left style="hair">
        <color indexed="64"/>
      </left>
      <right style="medium">
        <color indexed="64"/>
      </right>
      <top style="hair">
        <color indexed="64"/>
      </top>
      <bottom style="double">
        <color indexed="64"/>
      </bottom>
      <diagonal/>
    </border>
    <border>
      <left style="hair">
        <color indexed="64"/>
      </left>
      <right style="medium">
        <color indexed="64"/>
      </right>
      <top style="double">
        <color indexed="64"/>
      </top>
      <bottom style="medium">
        <color indexed="64"/>
      </bottom>
      <diagonal/>
    </border>
    <border>
      <left style="medium">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bottom style="medium">
        <color indexed="64"/>
      </bottom>
      <diagonal/>
    </border>
    <border>
      <left/>
      <right/>
      <top/>
      <bottom style="thin">
        <color rgb="FFFF0000"/>
      </bottom>
      <diagonal/>
    </border>
    <border>
      <left style="thin">
        <color theme="0" tint="-0.24994659260841701"/>
      </left>
      <right/>
      <top/>
      <bottom style="thin">
        <color rgb="FFFF0000"/>
      </bottom>
      <diagonal/>
    </border>
    <border>
      <left/>
      <right style="thin">
        <color theme="0" tint="-0.24994659260841701"/>
      </right>
      <top/>
      <bottom style="thin">
        <color rgb="FFFF0000"/>
      </bottom>
      <diagonal/>
    </border>
    <border>
      <left/>
      <right/>
      <top style="thin">
        <color rgb="FFFF0000"/>
      </top>
      <bottom/>
      <diagonal/>
    </border>
    <border>
      <left style="thin">
        <color rgb="FFFF0000"/>
      </left>
      <right/>
      <top style="thin">
        <color rgb="FFFF0000"/>
      </top>
      <bottom/>
      <diagonal/>
    </border>
    <border>
      <left/>
      <right style="thin">
        <color rgb="FFFF0000"/>
      </right>
      <top style="thin">
        <color rgb="FFFF0000"/>
      </top>
      <bottom/>
      <diagonal/>
    </border>
    <border>
      <left style="thin">
        <color rgb="FFFF0000"/>
      </left>
      <right/>
      <top/>
      <bottom/>
      <diagonal/>
    </border>
    <border>
      <left/>
      <right style="thin">
        <color rgb="FFFF0000"/>
      </right>
      <top/>
      <bottom/>
      <diagonal/>
    </border>
    <border>
      <left style="thin">
        <color rgb="FFFF0000"/>
      </left>
      <right/>
      <top/>
      <bottom style="thin">
        <color rgb="FFFF0000"/>
      </bottom>
      <diagonal/>
    </border>
    <border>
      <left/>
      <right style="thin">
        <color rgb="FFFF0000"/>
      </right>
      <top/>
      <bottom style="thin">
        <color rgb="FFFF0000"/>
      </bottom>
      <diagonal/>
    </border>
    <border>
      <left style="thin">
        <color theme="9" tint="-0.24994659260841701"/>
      </left>
      <right/>
      <top/>
      <bottom/>
      <diagonal/>
    </border>
    <border>
      <left/>
      <right style="thin">
        <color theme="9" tint="-0.24994659260841701"/>
      </right>
      <top/>
      <bottom/>
      <diagonal/>
    </border>
    <border>
      <left/>
      <right style="medium">
        <color indexed="64"/>
      </right>
      <top style="thin">
        <color indexed="64"/>
      </top>
      <bottom/>
      <diagonal/>
    </border>
    <border>
      <left/>
      <right/>
      <top style="medium">
        <color indexed="64"/>
      </top>
      <bottom style="thin">
        <color indexed="64"/>
      </bottom>
      <diagonal/>
    </border>
    <border>
      <left/>
      <right style="thin">
        <color indexed="64"/>
      </right>
      <top style="thin">
        <color indexed="64"/>
      </top>
      <bottom style="double">
        <color indexed="64"/>
      </bottom>
      <diagonal/>
    </border>
    <border>
      <left style="hair">
        <color indexed="64"/>
      </left>
      <right/>
      <top style="hair">
        <color indexed="64"/>
      </top>
      <bottom style="hair">
        <color indexed="64"/>
      </bottom>
      <diagonal/>
    </border>
    <border>
      <left style="hair">
        <color indexed="64"/>
      </left>
      <right/>
      <top style="hair">
        <color indexed="64"/>
      </top>
      <bottom style="double">
        <color indexed="64"/>
      </bottom>
      <diagonal/>
    </border>
    <border>
      <left style="medium">
        <color indexed="64"/>
      </left>
      <right/>
      <top/>
      <bottom style="double">
        <color indexed="64"/>
      </bottom>
      <diagonal/>
    </border>
    <border>
      <left/>
      <right/>
      <top/>
      <bottom style="double">
        <color indexed="64"/>
      </bottom>
      <diagonal/>
    </border>
    <border>
      <left/>
      <right style="medium">
        <color indexed="64"/>
      </right>
      <top/>
      <bottom style="double">
        <color indexed="64"/>
      </bottom>
      <diagonal/>
    </border>
    <border>
      <left style="hair">
        <color indexed="64"/>
      </left>
      <right/>
      <top/>
      <bottom style="hair">
        <color indexed="64"/>
      </bottom>
      <diagonal/>
    </border>
    <border>
      <left style="hair">
        <color indexed="64"/>
      </left>
      <right style="medium">
        <color indexed="64"/>
      </right>
      <top/>
      <bottom style="hair">
        <color indexed="64"/>
      </bottom>
      <diagonal/>
    </border>
    <border>
      <left/>
      <right/>
      <top style="double">
        <color indexed="64"/>
      </top>
      <bottom style="thin">
        <color indexed="64"/>
      </bottom>
      <diagonal/>
    </border>
    <border>
      <left style="medium">
        <color indexed="64"/>
      </left>
      <right/>
      <top style="double">
        <color indexed="64"/>
      </top>
      <bottom style="hair">
        <color indexed="64"/>
      </bottom>
      <diagonal/>
    </border>
    <border>
      <left/>
      <right style="hair">
        <color indexed="64"/>
      </right>
      <top style="double">
        <color indexed="64"/>
      </top>
      <bottom style="hair">
        <color indexed="64"/>
      </bottom>
      <diagonal/>
    </border>
    <border>
      <left style="medium">
        <color indexed="64"/>
      </left>
      <right/>
      <top style="hair">
        <color indexed="64"/>
      </top>
      <bottom style="hair">
        <color indexed="64"/>
      </bottom>
      <diagonal/>
    </border>
    <border>
      <left/>
      <right style="hair">
        <color indexed="64"/>
      </right>
      <top style="hair">
        <color indexed="64"/>
      </top>
      <bottom style="hair">
        <color indexed="64"/>
      </bottom>
      <diagonal/>
    </border>
    <border>
      <left style="medium">
        <color indexed="64"/>
      </left>
      <right/>
      <top style="hair">
        <color indexed="64"/>
      </top>
      <bottom style="double">
        <color indexed="64"/>
      </bottom>
      <diagonal/>
    </border>
    <border>
      <left/>
      <right style="hair">
        <color indexed="64"/>
      </right>
      <top style="hair">
        <color indexed="64"/>
      </top>
      <bottom style="double">
        <color indexed="64"/>
      </bottom>
      <diagonal/>
    </border>
    <border>
      <left/>
      <right style="hair">
        <color indexed="64"/>
      </right>
      <top style="double">
        <color indexed="64"/>
      </top>
      <bottom style="medium">
        <color indexed="64"/>
      </bottom>
      <diagonal/>
    </border>
    <border>
      <left style="medium">
        <color indexed="64"/>
      </left>
      <right/>
      <top style="double">
        <color indexed="64"/>
      </top>
      <bottom style="medium">
        <color indexed="64"/>
      </bottom>
      <diagonal/>
    </border>
    <border>
      <left/>
      <right/>
      <top style="double">
        <color indexed="64"/>
      </top>
      <bottom style="medium">
        <color indexed="64"/>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thin">
        <color indexed="64"/>
      </left>
      <right/>
      <top style="thin">
        <color indexed="64"/>
      </top>
      <bottom style="double">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s>
  <cellStyleXfs count="54">
    <xf numFmtId="0" fontId="0" fillId="0" borderId="0"/>
    <xf numFmtId="0" fontId="35" fillId="2" borderId="0" applyNumberFormat="0" applyBorder="0" applyAlignment="0" applyProtection="0"/>
    <xf numFmtId="0" fontId="35" fillId="3" borderId="0" applyNumberFormat="0" applyBorder="0" applyAlignment="0" applyProtection="0"/>
    <xf numFmtId="0" fontId="35" fillId="4" borderId="0" applyNumberFormat="0" applyBorder="0" applyAlignment="0" applyProtection="0"/>
    <xf numFmtId="0" fontId="35" fillId="5" borderId="0" applyNumberFormat="0" applyBorder="0" applyAlignment="0" applyProtection="0"/>
    <xf numFmtId="0" fontId="35" fillId="6" borderId="0" applyNumberFormat="0" applyBorder="0" applyAlignment="0" applyProtection="0"/>
    <xf numFmtId="0" fontId="35" fillId="7" borderId="0" applyNumberFormat="0" applyBorder="0" applyAlignment="0" applyProtection="0"/>
    <xf numFmtId="0" fontId="35" fillId="8" borderId="0" applyNumberFormat="0" applyBorder="0" applyAlignment="0" applyProtection="0"/>
    <xf numFmtId="0" fontId="35" fillId="9" borderId="0" applyNumberFormat="0" applyBorder="0" applyAlignment="0" applyProtection="0"/>
    <xf numFmtId="0" fontId="35" fillId="10" borderId="0" applyNumberFormat="0" applyBorder="0" applyAlignment="0" applyProtection="0"/>
    <xf numFmtId="0" fontId="35" fillId="5" borderId="0" applyNumberFormat="0" applyBorder="0" applyAlignment="0" applyProtection="0"/>
    <xf numFmtId="0" fontId="35" fillId="8" borderId="0" applyNumberFormat="0" applyBorder="0" applyAlignment="0" applyProtection="0"/>
    <xf numFmtId="0" fontId="35" fillId="11" borderId="0" applyNumberFormat="0" applyBorder="0" applyAlignment="0" applyProtection="0"/>
    <xf numFmtId="0" fontId="36" fillId="12" borderId="0" applyNumberFormat="0" applyBorder="0" applyAlignment="0" applyProtection="0"/>
    <xf numFmtId="0" fontId="36" fillId="9" borderId="0" applyNumberFormat="0" applyBorder="0" applyAlignment="0" applyProtection="0"/>
    <xf numFmtId="0" fontId="36" fillId="10" borderId="0" applyNumberFormat="0" applyBorder="0" applyAlignment="0" applyProtection="0"/>
    <xf numFmtId="0" fontId="36" fillId="13" borderId="0" applyNumberFormat="0" applyBorder="0" applyAlignment="0" applyProtection="0"/>
    <xf numFmtId="0" fontId="36" fillId="14" borderId="0" applyNumberFormat="0" applyBorder="0" applyAlignment="0" applyProtection="0"/>
    <xf numFmtId="0" fontId="36" fillId="15" borderId="0" applyNumberFormat="0" applyBorder="0" applyAlignment="0" applyProtection="0"/>
    <xf numFmtId="0" fontId="36" fillId="16" borderId="0" applyNumberFormat="0" applyBorder="0" applyAlignment="0" applyProtection="0"/>
    <xf numFmtId="0" fontId="36" fillId="17" borderId="0" applyNumberFormat="0" applyBorder="0" applyAlignment="0" applyProtection="0"/>
    <xf numFmtId="0" fontId="36" fillId="18" borderId="0" applyNumberFormat="0" applyBorder="0" applyAlignment="0" applyProtection="0"/>
    <xf numFmtId="0" fontId="36" fillId="13" borderId="0" applyNumberFormat="0" applyBorder="0" applyAlignment="0" applyProtection="0"/>
    <xf numFmtId="0" fontId="36" fillId="14" borderId="0" applyNumberFormat="0" applyBorder="0" applyAlignment="0" applyProtection="0"/>
    <xf numFmtId="0" fontId="36" fillId="19" borderId="0" applyNumberFormat="0" applyBorder="0" applyAlignment="0" applyProtection="0"/>
    <xf numFmtId="0" fontId="37" fillId="3" borderId="0" applyNumberFormat="0" applyBorder="0" applyAlignment="0" applyProtection="0"/>
    <xf numFmtId="0" fontId="38" fillId="20" borderId="1" applyNumberFormat="0" applyAlignment="0" applyProtection="0"/>
    <xf numFmtId="0" fontId="39" fillId="21" borderId="2" applyNumberFormat="0" applyAlignment="0" applyProtection="0"/>
    <xf numFmtId="0" fontId="40" fillId="0" borderId="0" applyNumberFormat="0" applyFill="0" applyBorder="0" applyAlignment="0" applyProtection="0"/>
    <xf numFmtId="0" fontId="41" fillId="4" borderId="0" applyNumberFormat="0" applyBorder="0" applyAlignment="0" applyProtection="0"/>
    <xf numFmtId="0" fontId="42" fillId="0" borderId="3" applyNumberFormat="0" applyFill="0" applyAlignment="0" applyProtection="0"/>
    <xf numFmtId="0" fontId="43" fillId="0" borderId="4" applyNumberFormat="0" applyFill="0" applyAlignment="0" applyProtection="0"/>
    <xf numFmtId="0" fontId="44" fillId="0" borderId="5" applyNumberFormat="0" applyFill="0" applyAlignment="0" applyProtection="0"/>
    <xf numFmtId="0" fontId="44" fillId="0" borderId="0" applyNumberFormat="0" applyFill="0" applyBorder="0" applyAlignment="0" applyProtection="0"/>
    <xf numFmtId="0" fontId="10" fillId="0" borderId="0" applyNumberFormat="0" applyFill="0" applyBorder="0" applyAlignment="0" applyProtection="0">
      <alignment vertical="top"/>
      <protection locked="0"/>
    </xf>
    <xf numFmtId="0" fontId="45" fillId="7" borderId="1" applyNumberFormat="0" applyAlignment="0" applyProtection="0"/>
    <xf numFmtId="0" fontId="46" fillId="0" borderId="6" applyNumberFormat="0" applyFill="0" applyAlignment="0" applyProtection="0"/>
    <xf numFmtId="0" fontId="47" fillId="22" borderId="0" applyNumberFormat="0" applyBorder="0" applyAlignment="0" applyProtection="0"/>
    <xf numFmtId="0" fontId="6" fillId="0" borderId="0"/>
    <xf numFmtId="0" fontId="35" fillId="0" borderId="0"/>
    <xf numFmtId="0" fontId="18" fillId="0" borderId="0"/>
    <xf numFmtId="0" fontId="18" fillId="0" borderId="0"/>
    <xf numFmtId="0" fontId="35" fillId="23" borderId="7" applyNumberFormat="0" applyFont="0" applyAlignment="0" applyProtection="0"/>
    <xf numFmtId="0" fontId="48" fillId="20" borderId="8" applyNumberFormat="0" applyAlignment="0" applyProtection="0"/>
    <xf numFmtId="0" fontId="49" fillId="0" borderId="0" applyNumberFormat="0" applyFill="0" applyBorder="0" applyAlignment="0" applyProtection="0"/>
    <xf numFmtId="0" fontId="50" fillId="0" borderId="9" applyNumberFormat="0" applyFill="0" applyAlignment="0" applyProtection="0"/>
    <xf numFmtId="0" fontId="51" fillId="0" borderId="0" applyNumberFormat="0" applyFill="0" applyBorder="0" applyAlignment="0" applyProtection="0"/>
    <xf numFmtId="44" fontId="53" fillId="0" borderId="0" applyFont="0" applyFill="0" applyBorder="0" applyAlignment="0" applyProtection="0"/>
    <xf numFmtId="9" fontId="53" fillId="0" borderId="0" applyFont="0" applyFill="0" applyBorder="0" applyAlignment="0" applyProtection="0"/>
    <xf numFmtId="0" fontId="4" fillId="0" borderId="0"/>
    <xf numFmtId="0" fontId="80" fillId="0" borderId="0" applyNumberFormat="0" applyFill="0" applyBorder="0" applyAlignment="0" applyProtection="0"/>
    <xf numFmtId="0" fontId="2" fillId="0" borderId="0"/>
    <xf numFmtId="44" fontId="6" fillId="0" borderId="0" applyFont="0" applyFill="0" applyBorder="0" applyAlignment="0" applyProtection="0"/>
    <xf numFmtId="0" fontId="107" fillId="0" borderId="0" applyNumberFormat="0" applyFill="0" applyBorder="0" applyAlignment="0" applyProtection="0"/>
  </cellStyleXfs>
  <cellXfs count="1023">
    <xf numFmtId="0" fontId="0" fillId="0" borderId="0" xfId="0"/>
    <xf numFmtId="0" fontId="7" fillId="0" borderId="0" xfId="0" applyFont="1"/>
    <xf numFmtId="0" fontId="8" fillId="0" borderId="0" xfId="0" applyFont="1"/>
    <xf numFmtId="164" fontId="0" fillId="0" borderId="0" xfId="0" applyNumberFormat="1"/>
    <xf numFmtId="0" fontId="7" fillId="0" borderId="0" xfId="0" applyFont="1" applyAlignment="1">
      <alignment wrapText="1"/>
    </xf>
    <xf numFmtId="0" fontId="8" fillId="0" borderId="0" xfId="0" applyFont="1" applyAlignment="1">
      <alignment wrapText="1"/>
    </xf>
    <xf numFmtId="0" fontId="7" fillId="0" borderId="12" xfId="0" applyFont="1" applyBorder="1"/>
    <xf numFmtId="0" fontId="12" fillId="0" borderId="0" xfId="0" applyFont="1"/>
    <xf numFmtId="0" fontId="18" fillId="0" borderId="0" xfId="40"/>
    <xf numFmtId="0" fontId="19" fillId="24" borderId="22" xfId="40" applyFont="1" applyFill="1" applyBorder="1" applyAlignment="1">
      <alignment horizontal="right"/>
    </xf>
    <xf numFmtId="0" fontId="20" fillId="0" borderId="0" xfId="41" applyFont="1"/>
    <xf numFmtId="0" fontId="21" fillId="0" borderId="0" xfId="41" applyFont="1" applyAlignment="1">
      <alignment horizontal="center"/>
    </xf>
    <xf numFmtId="0" fontId="20" fillId="0" borderId="0" xfId="41" applyFont="1" applyAlignment="1">
      <alignment horizontal="center"/>
    </xf>
    <xf numFmtId="2" fontId="20" fillId="0" borderId="0" xfId="41" applyNumberFormat="1" applyFont="1"/>
    <xf numFmtId="0" fontId="18" fillId="0" borderId="0" xfId="41"/>
    <xf numFmtId="2" fontId="15" fillId="1" borderId="19" xfId="0" applyNumberFormat="1" applyFont="1" applyFill="1" applyBorder="1" applyAlignment="1">
      <alignment horizontal="right"/>
    </xf>
    <xf numFmtId="2" fontId="15" fillId="1" borderId="19" xfId="0" applyNumberFormat="1" applyFont="1" applyFill="1" applyBorder="1"/>
    <xf numFmtId="2" fontId="12" fillId="1" borderId="16" xfId="0" applyNumberFormat="1" applyFont="1" applyFill="1" applyBorder="1" applyAlignment="1">
      <alignment horizontal="right"/>
    </xf>
    <xf numFmtId="2" fontId="12" fillId="1" borderId="15" xfId="0" applyNumberFormat="1" applyFont="1" applyFill="1" applyBorder="1" applyAlignment="1">
      <alignment horizontal="right"/>
    </xf>
    <xf numFmtId="169" fontId="0" fillId="0" borderId="0" xfId="0" applyNumberFormat="1"/>
    <xf numFmtId="167" fontId="17" fillId="1" borderId="25" xfId="0" applyNumberFormat="1" applyFont="1" applyFill="1" applyBorder="1" applyAlignment="1">
      <alignment horizontal="left" indent="3"/>
    </xf>
    <xf numFmtId="5" fontId="17" fillId="1" borderId="27" xfId="0" applyNumberFormat="1" applyFont="1" applyFill="1" applyBorder="1" applyAlignment="1">
      <alignment horizontal="left" indent="3"/>
    </xf>
    <xf numFmtId="166" fontId="17" fillId="1" borderId="28" xfId="0" applyNumberFormat="1" applyFont="1" applyFill="1" applyBorder="1" applyAlignment="1">
      <alignment horizontal="left" indent="3"/>
    </xf>
    <xf numFmtId="5" fontId="17" fillId="1" borderId="29" xfId="0" applyNumberFormat="1" applyFont="1" applyFill="1" applyBorder="1" applyAlignment="1">
      <alignment horizontal="left" indent="3"/>
    </xf>
    <xf numFmtId="166" fontId="17" fillId="1" borderId="25" xfId="0" applyNumberFormat="1" applyFont="1" applyFill="1" applyBorder="1" applyAlignment="1">
      <alignment horizontal="left" indent="3"/>
    </xf>
    <xf numFmtId="166" fontId="0" fillId="0" borderId="0" xfId="0" applyNumberFormat="1"/>
    <xf numFmtId="166" fontId="17" fillId="1" borderId="19" xfId="0" applyNumberFormat="1" applyFont="1" applyFill="1" applyBorder="1"/>
    <xf numFmtId="0" fontId="17" fillId="1" borderId="30" xfId="0" applyFont="1" applyFill="1" applyBorder="1"/>
    <xf numFmtId="167" fontId="17" fillId="1" borderId="25" xfId="0" applyNumberFormat="1" applyFont="1" applyFill="1" applyBorder="1" applyAlignment="1">
      <alignment horizontal="center"/>
    </xf>
    <xf numFmtId="5" fontId="17" fillId="1" borderId="27" xfId="0" applyNumberFormat="1" applyFont="1" applyFill="1" applyBorder="1" applyAlignment="1">
      <alignment horizontal="center"/>
    </xf>
    <xf numFmtId="166" fontId="17" fillId="1" borderId="28" xfId="0" applyNumberFormat="1" applyFont="1" applyFill="1" applyBorder="1" applyAlignment="1">
      <alignment horizontal="center"/>
    </xf>
    <xf numFmtId="5" fontId="17" fillId="1" borderId="29" xfId="0" applyNumberFormat="1" applyFont="1" applyFill="1" applyBorder="1" applyAlignment="1">
      <alignment horizontal="center"/>
    </xf>
    <xf numFmtId="0" fontId="0" fillId="0" borderId="0" xfId="0" applyAlignment="1">
      <alignment wrapText="1"/>
    </xf>
    <xf numFmtId="0" fontId="27" fillId="0" borderId="14" xfId="0" applyFont="1" applyBorder="1"/>
    <xf numFmtId="0" fontId="27" fillId="0" borderId="15" xfId="0" applyFont="1" applyBorder="1"/>
    <xf numFmtId="0" fontId="0" fillId="0" borderId="16" xfId="0" applyBorder="1"/>
    <xf numFmtId="0" fontId="28" fillId="0" borderId="0" xfId="0" applyFont="1"/>
    <xf numFmtId="0" fontId="28" fillId="0" borderId="12" xfId="0" applyFont="1" applyBorder="1"/>
    <xf numFmtId="0" fontId="0" fillId="0" borderId="0" xfId="0" applyAlignment="1">
      <alignment horizontal="left"/>
    </xf>
    <xf numFmtId="1" fontId="0" fillId="0" borderId="12" xfId="0" applyNumberFormat="1" applyBorder="1" applyAlignment="1">
      <alignment horizontal="left"/>
    </xf>
    <xf numFmtId="0" fontId="0" fillId="0" borderId="12" xfId="0" applyBorder="1"/>
    <xf numFmtId="0" fontId="0" fillId="0" borderId="12" xfId="0" applyBorder="1" applyAlignment="1">
      <alignment wrapText="1"/>
    </xf>
    <xf numFmtId="14" fontId="0" fillId="0" borderId="12" xfId="0" applyNumberFormat="1" applyBorder="1" applyAlignment="1">
      <alignment horizontal="left"/>
    </xf>
    <xf numFmtId="0" fontId="28" fillId="0" borderId="0" xfId="34" applyFont="1" applyAlignment="1" applyProtection="1">
      <alignment wrapText="1"/>
    </xf>
    <xf numFmtId="0" fontId="5" fillId="0" borderId="12" xfId="0" applyFont="1" applyBorder="1"/>
    <xf numFmtId="0" fontId="28" fillId="0" borderId="0" xfId="0" applyFont="1" applyAlignment="1">
      <alignment wrapText="1"/>
    </xf>
    <xf numFmtId="0" fontId="0" fillId="0" borderId="0" xfId="34" applyFont="1" applyAlignment="1" applyProtection="1">
      <alignment wrapText="1"/>
    </xf>
    <xf numFmtId="0" fontId="26" fillId="0" borderId="0" xfId="0" applyFont="1" applyAlignment="1">
      <alignment horizontal="left"/>
    </xf>
    <xf numFmtId="0" fontId="24" fillId="0" borderId="0" xfId="0" applyFont="1" applyAlignment="1">
      <alignment horizontal="left" vertical="top"/>
    </xf>
    <xf numFmtId="0" fontId="0" fillId="26" borderId="0" xfId="0" applyFill="1"/>
    <xf numFmtId="0" fontId="24" fillId="0" borderId="0" xfId="0" applyFont="1"/>
    <xf numFmtId="166" fontId="17" fillId="1" borderId="25" xfId="0" applyNumberFormat="1" applyFont="1" applyFill="1" applyBorder="1" applyAlignment="1">
      <alignment horizontal="left" vertical="center" indent="3"/>
    </xf>
    <xf numFmtId="166" fontId="17" fillId="1" borderId="27" xfId="0" applyNumberFormat="1" applyFont="1" applyFill="1" applyBorder="1" applyAlignment="1">
      <alignment horizontal="left" vertical="center" indent="3"/>
    </xf>
    <xf numFmtId="166" fontId="17" fillId="1" borderId="12" xfId="0" applyNumberFormat="1" applyFont="1" applyFill="1" applyBorder="1" applyAlignment="1">
      <alignment horizontal="left" vertical="center" indent="3"/>
    </xf>
    <xf numFmtId="166" fontId="17" fillId="1" borderId="11" xfId="0" applyNumberFormat="1" applyFont="1" applyFill="1" applyBorder="1" applyAlignment="1">
      <alignment horizontal="left" vertical="center" indent="3"/>
    </xf>
    <xf numFmtId="166" fontId="17" fillId="1" borderId="28" xfId="0" applyNumberFormat="1" applyFont="1" applyFill="1" applyBorder="1" applyAlignment="1">
      <alignment horizontal="left" vertical="center" indent="3"/>
    </xf>
    <xf numFmtId="166" fontId="17" fillId="1" borderId="29" xfId="0" applyNumberFormat="1" applyFont="1" applyFill="1" applyBorder="1" applyAlignment="1">
      <alignment horizontal="left" vertical="center" indent="3"/>
    </xf>
    <xf numFmtId="166" fontId="17" fillId="1" borderId="19" xfId="0" applyNumberFormat="1" applyFont="1" applyFill="1" applyBorder="1" applyAlignment="1">
      <alignment vertical="center"/>
    </xf>
    <xf numFmtId="166" fontId="17" fillId="1" borderId="30" xfId="0" applyNumberFormat="1" applyFont="1" applyFill="1" applyBorder="1" applyAlignment="1">
      <alignment vertical="center"/>
    </xf>
    <xf numFmtId="166" fontId="17" fillId="0" borderId="16" xfId="0" applyNumberFormat="1" applyFont="1" applyBorder="1" applyAlignment="1">
      <alignment vertical="center"/>
    </xf>
    <xf numFmtId="0" fontId="29" fillId="0" borderId="0" xfId="0" applyFont="1" applyAlignment="1">
      <alignment wrapText="1"/>
    </xf>
    <xf numFmtId="0" fontId="33" fillId="0" borderId="0" xfId="0" applyFont="1"/>
    <xf numFmtId="0" fontId="17" fillId="0" borderId="0" xfId="0" applyFont="1"/>
    <xf numFmtId="0" fontId="17" fillId="27" borderId="22" xfId="0" applyFont="1" applyFill="1" applyBorder="1"/>
    <xf numFmtId="0" fontId="17" fillId="0" borderId="22" xfId="0" applyFont="1" applyBorder="1"/>
    <xf numFmtId="0" fontId="17" fillId="0" borderId="24" xfId="0" applyFont="1" applyBorder="1"/>
    <xf numFmtId="166" fontId="17" fillId="0" borderId="0" xfId="0" applyNumberFormat="1" applyFont="1"/>
    <xf numFmtId="3" fontId="17" fillId="0" borderId="0" xfId="0" applyNumberFormat="1" applyFont="1"/>
    <xf numFmtId="0" fontId="34" fillId="27" borderId="22" xfId="0" applyFont="1" applyFill="1" applyBorder="1"/>
    <xf numFmtId="0" fontId="17" fillId="27" borderId="24" xfId="0" applyFont="1" applyFill="1" applyBorder="1"/>
    <xf numFmtId="0" fontId="26" fillId="0" borderId="0" xfId="0" applyFont="1"/>
    <xf numFmtId="0" fontId="25" fillId="0" borderId="0" xfId="0" applyFont="1"/>
    <xf numFmtId="0" fontId="24" fillId="0" borderId="23" xfId="0" applyFont="1" applyBorder="1" applyAlignment="1">
      <alignment wrapText="1"/>
    </xf>
    <xf numFmtId="49" fontId="24" fillId="0" borderId="23" xfId="0" applyNumberFormat="1" applyFont="1" applyBorder="1"/>
    <xf numFmtId="0" fontId="24" fillId="0" borderId="23" xfId="0" applyFont="1" applyBorder="1" applyAlignment="1">
      <alignment horizontal="left" vertical="top"/>
    </xf>
    <xf numFmtId="0" fontId="24" fillId="0" borderId="23" xfId="0" applyFont="1" applyBorder="1"/>
    <xf numFmtId="0" fontId="17" fillId="0" borderId="18" xfId="0" applyFont="1" applyBorder="1"/>
    <xf numFmtId="0" fontId="34" fillId="28" borderId="22" xfId="0" applyFont="1" applyFill="1" applyBorder="1"/>
    <xf numFmtId="166" fontId="0" fillId="29" borderId="0" xfId="0" applyNumberFormat="1" applyFill="1"/>
    <xf numFmtId="169" fontId="0" fillId="29" borderId="0" xfId="0" applyNumberFormat="1" applyFill="1"/>
    <xf numFmtId="0" fontId="0" fillId="29" borderId="0" xfId="0" applyFill="1"/>
    <xf numFmtId="0" fontId="9" fillId="0" borderId="0" xfId="0" applyFont="1"/>
    <xf numFmtId="10" fontId="0" fillId="0" borderId="0" xfId="0" applyNumberFormat="1"/>
    <xf numFmtId="10" fontId="18" fillId="0" borderId="24" xfId="40" applyNumberFormat="1" applyBorder="1"/>
    <xf numFmtId="169" fontId="6" fillId="29" borderId="0" xfId="0" applyNumberFormat="1" applyFont="1" applyFill="1"/>
    <xf numFmtId="0" fontId="18" fillId="26" borderId="0" xfId="40" applyFill="1" applyAlignment="1">
      <alignment horizontal="center"/>
    </xf>
    <xf numFmtId="10" fontId="18" fillId="0" borderId="22" xfId="40" applyNumberFormat="1" applyBorder="1"/>
    <xf numFmtId="10" fontId="18" fillId="0" borderId="0" xfId="40" applyNumberFormat="1"/>
    <xf numFmtId="10" fontId="18" fillId="29" borderId="22" xfId="40" applyNumberFormat="1" applyFill="1" applyBorder="1"/>
    <xf numFmtId="10" fontId="18" fillId="29" borderId="0" xfId="40" applyNumberFormat="1" applyFill="1"/>
    <xf numFmtId="10" fontId="18" fillId="29" borderId="37" xfId="40" applyNumberFormat="1" applyFill="1" applyBorder="1"/>
    <xf numFmtId="10" fontId="18" fillId="29" borderId="38" xfId="40" applyNumberFormat="1" applyFill="1" applyBorder="1"/>
    <xf numFmtId="10" fontId="18" fillId="29" borderId="39" xfId="40" applyNumberFormat="1" applyFill="1" applyBorder="1"/>
    <xf numFmtId="10" fontId="18" fillId="29" borderId="40" xfId="40" applyNumberFormat="1" applyFill="1" applyBorder="1"/>
    <xf numFmtId="10" fontId="18" fillId="29" borderId="41" xfId="40" applyNumberFormat="1" applyFill="1" applyBorder="1"/>
    <xf numFmtId="2" fontId="0" fillId="0" borderId="0" xfId="0" applyNumberFormat="1"/>
    <xf numFmtId="2" fontId="0" fillId="29" borderId="0" xfId="0" applyNumberFormat="1" applyFill="1"/>
    <xf numFmtId="2" fontId="18" fillId="0" borderId="0" xfId="40" applyNumberFormat="1"/>
    <xf numFmtId="2" fontId="6" fillId="29" borderId="0" xfId="0" applyNumberFormat="1" applyFont="1" applyFill="1"/>
    <xf numFmtId="2" fontId="6" fillId="0" borderId="0" xfId="0" applyNumberFormat="1" applyFont="1"/>
    <xf numFmtId="0" fontId="22" fillId="25" borderId="36" xfId="41" applyFont="1" applyFill="1" applyBorder="1" applyProtection="1">
      <protection locked="0"/>
    </xf>
    <xf numFmtId="0" fontId="20" fillId="0" borderId="23" xfId="41" applyFont="1" applyBorder="1"/>
    <xf numFmtId="2" fontId="22" fillId="31" borderId="36" xfId="41" applyNumberFormat="1" applyFont="1" applyFill="1" applyBorder="1" applyProtection="1">
      <protection locked="0"/>
    </xf>
    <xf numFmtId="2" fontId="22" fillId="30" borderId="36" xfId="41" applyNumberFormat="1" applyFont="1" applyFill="1" applyBorder="1" applyProtection="1">
      <protection locked="0"/>
    </xf>
    <xf numFmtId="0" fontId="54" fillId="0" borderId="0" xfId="41" applyFont="1"/>
    <xf numFmtId="2" fontId="15" fillId="1" borderId="22" xfId="0" applyNumberFormat="1" applyFont="1" applyFill="1" applyBorder="1"/>
    <xf numFmtId="10" fontId="24" fillId="0" borderId="0" xfId="48" applyNumberFormat="1" applyFont="1"/>
    <xf numFmtId="166" fontId="18" fillId="1" borderId="0" xfId="0" applyNumberFormat="1" applyFont="1" applyFill="1" applyAlignment="1">
      <alignment vertical="center"/>
    </xf>
    <xf numFmtId="2" fontId="12" fillId="1" borderId="42" xfId="0" applyNumberFormat="1" applyFont="1" applyFill="1" applyBorder="1" applyAlignment="1">
      <alignment horizontal="right"/>
    </xf>
    <xf numFmtId="0" fontId="8" fillId="1" borderId="0" xfId="0" applyFont="1" applyFill="1" applyAlignment="1">
      <alignment wrapText="1"/>
    </xf>
    <xf numFmtId="2" fontId="12" fillId="1" borderId="43" xfId="0" applyNumberFormat="1" applyFont="1" applyFill="1" applyBorder="1" applyAlignment="1">
      <alignment horizontal="right"/>
    </xf>
    <xf numFmtId="2" fontId="12" fillId="1" borderId="0" xfId="0" applyNumberFormat="1" applyFont="1" applyFill="1" applyAlignment="1">
      <alignment horizontal="right"/>
    </xf>
    <xf numFmtId="170" fontId="8" fillId="1" borderId="0" xfId="0" applyNumberFormat="1" applyFont="1" applyFill="1" applyAlignment="1">
      <alignment wrapText="1"/>
    </xf>
    <xf numFmtId="0" fontId="6" fillId="0" borderId="0" xfId="0" applyFont="1"/>
    <xf numFmtId="0" fontId="6" fillId="0" borderId="0" xfId="34" applyFont="1" applyAlignment="1" applyProtection="1">
      <alignment horizontal="left" wrapText="1"/>
    </xf>
    <xf numFmtId="0" fontId="6" fillId="0" borderId="0" xfId="0" applyFont="1" applyAlignment="1">
      <alignment wrapText="1"/>
    </xf>
    <xf numFmtId="0" fontId="59" fillId="0" borderId="0" xfId="0" applyFont="1"/>
    <xf numFmtId="0" fontId="57" fillId="0" borderId="0" xfId="0" applyFont="1"/>
    <xf numFmtId="5" fontId="0" fillId="0" borderId="0" xfId="0" applyNumberFormat="1"/>
    <xf numFmtId="0" fontId="58" fillId="0" borderId="51" xfId="0" applyFont="1" applyBorder="1" applyAlignment="1">
      <alignment horizontal="left" vertical="center"/>
    </xf>
    <xf numFmtId="0" fontId="58" fillId="0" borderId="51" xfId="0" applyFont="1" applyBorder="1"/>
    <xf numFmtId="2" fontId="20" fillId="32" borderId="0" xfId="41" applyNumberFormat="1" applyFont="1" applyFill="1"/>
    <xf numFmtId="0" fontId="20" fillId="32" borderId="0" xfId="41" applyFont="1" applyFill="1"/>
    <xf numFmtId="2" fontId="20" fillId="29" borderId="0" xfId="41" applyNumberFormat="1" applyFont="1" applyFill="1"/>
    <xf numFmtId="0" fontId="20" fillId="29" borderId="0" xfId="41" applyFont="1" applyFill="1"/>
    <xf numFmtId="0" fontId="30" fillId="29" borderId="0" xfId="41" applyFont="1" applyFill="1"/>
    <xf numFmtId="0" fontId="31" fillId="29" borderId="0" xfId="41" applyFont="1" applyFill="1"/>
    <xf numFmtId="0" fontId="30" fillId="29" borderId="23" xfId="41" applyFont="1" applyFill="1" applyBorder="1" applyAlignment="1">
      <alignment horizontal="left"/>
    </xf>
    <xf numFmtId="0" fontId="30" fillId="29" borderId="0" xfId="41" applyFont="1" applyFill="1" applyAlignment="1">
      <alignment horizontal="center"/>
    </xf>
    <xf numFmtId="0" fontId="30" fillId="29" borderId="14" xfId="41" applyFont="1" applyFill="1" applyBorder="1" applyAlignment="1">
      <alignment horizontal="center"/>
    </xf>
    <xf numFmtId="2" fontId="20" fillId="32" borderId="23" xfId="41" applyNumberFormat="1" applyFont="1" applyFill="1" applyBorder="1"/>
    <xf numFmtId="0" fontId="20" fillId="32" borderId="23" xfId="41" applyFont="1" applyFill="1" applyBorder="1"/>
    <xf numFmtId="2" fontId="22" fillId="35" borderId="23" xfId="41" applyNumberFormat="1" applyFont="1" applyFill="1" applyBorder="1"/>
    <xf numFmtId="1" fontId="22" fillId="36" borderId="23" xfId="48" applyNumberFormat="1" applyFont="1" applyFill="1" applyBorder="1"/>
    <xf numFmtId="2" fontId="22" fillId="37" borderId="23" xfId="41" applyNumberFormat="1" applyFont="1" applyFill="1" applyBorder="1"/>
    <xf numFmtId="0" fontId="22" fillId="37" borderId="0" xfId="41" applyFont="1" applyFill="1"/>
    <xf numFmtId="0" fontId="22" fillId="37" borderId="23" xfId="41" applyFont="1" applyFill="1" applyBorder="1"/>
    <xf numFmtId="171" fontId="20" fillId="37" borderId="0" xfId="0" applyNumberFormat="1" applyFont="1" applyFill="1" applyAlignment="1" applyProtection="1">
      <alignment vertical="center"/>
      <protection locked="0"/>
    </xf>
    <xf numFmtId="171" fontId="20" fillId="37" borderId="23" xfId="0" applyNumberFormat="1" applyFont="1" applyFill="1" applyBorder="1" applyAlignment="1" applyProtection="1">
      <alignment vertical="center"/>
      <protection locked="0"/>
    </xf>
    <xf numFmtId="0" fontId="20" fillId="29" borderId="23" xfId="41" applyFont="1" applyFill="1" applyBorder="1"/>
    <xf numFmtId="166" fontId="17" fillId="32" borderId="18" xfId="0" applyNumberFormat="1" applyFont="1" applyFill="1" applyBorder="1" applyAlignment="1" applyProtection="1">
      <alignment vertical="center"/>
      <protection locked="0"/>
    </xf>
    <xf numFmtId="166" fontId="17" fillId="32" borderId="22" xfId="0" applyNumberFormat="1" applyFont="1" applyFill="1" applyBorder="1" applyAlignment="1">
      <alignment vertical="center"/>
    </xf>
    <xf numFmtId="166" fontId="17" fillId="32" borderId="18" xfId="0" applyNumberFormat="1" applyFont="1" applyFill="1" applyBorder="1" applyAlignment="1">
      <alignment vertical="center"/>
    </xf>
    <xf numFmtId="0" fontId="13" fillId="32" borderId="12" xfId="0" applyFont="1" applyFill="1" applyBorder="1"/>
    <xf numFmtId="0" fontId="13" fillId="32" borderId="0" xfId="0" applyFont="1" applyFill="1"/>
    <xf numFmtId="0" fontId="13" fillId="32" borderId="0" xfId="0" applyFont="1" applyFill="1" applyAlignment="1">
      <alignment horizontal="right"/>
    </xf>
    <xf numFmtId="0" fontId="8" fillId="32" borderId="0" xfId="0" applyFont="1" applyFill="1"/>
    <xf numFmtId="0" fontId="13" fillId="32" borderId="14" xfId="0" applyFont="1" applyFill="1" applyBorder="1" applyAlignment="1">
      <alignment horizontal="right"/>
    </xf>
    <xf numFmtId="0" fontId="13" fillId="32" borderId="18" xfId="0" applyFont="1" applyFill="1" applyBorder="1"/>
    <xf numFmtId="0" fontId="13" fillId="32" borderId="19" xfId="0" applyFont="1" applyFill="1" applyBorder="1"/>
    <xf numFmtId="0" fontId="13" fillId="32" borderId="19" xfId="0" applyFont="1" applyFill="1" applyBorder="1" applyAlignment="1">
      <alignment horizontal="right"/>
    </xf>
    <xf numFmtId="6" fontId="13" fillId="32" borderId="19" xfId="0" applyNumberFormat="1" applyFont="1" applyFill="1" applyBorder="1"/>
    <xf numFmtId="0" fontId="13" fillId="32" borderId="19" xfId="0" applyFont="1" applyFill="1" applyBorder="1" applyAlignment="1">
      <alignment horizontal="left"/>
    </xf>
    <xf numFmtId="0" fontId="13" fillId="32" borderId="14" xfId="0" applyFont="1" applyFill="1" applyBorder="1" applyAlignment="1">
      <alignment horizontal="left"/>
    </xf>
    <xf numFmtId="0" fontId="13" fillId="32" borderId="15" xfId="0" applyFont="1" applyFill="1" applyBorder="1"/>
    <xf numFmtId="0" fontId="13" fillId="32" borderId="14" xfId="0" applyFont="1" applyFill="1" applyBorder="1"/>
    <xf numFmtId="0" fontId="13" fillId="32" borderId="13" xfId="0" applyFont="1" applyFill="1" applyBorder="1" applyAlignment="1">
      <alignment horizontal="right"/>
    </xf>
    <xf numFmtId="0" fontId="13" fillId="32" borderId="0" xfId="0" applyFont="1" applyFill="1" applyAlignment="1">
      <alignment horizontal="left"/>
    </xf>
    <xf numFmtId="0" fontId="13" fillId="32" borderId="13" xfId="0" applyFont="1" applyFill="1" applyBorder="1" applyAlignment="1">
      <alignment horizontal="left"/>
    </xf>
    <xf numFmtId="6" fontId="13" fillId="32" borderId="0" xfId="0" applyNumberFormat="1" applyFont="1" applyFill="1"/>
    <xf numFmtId="0" fontId="13" fillId="32" borderId="14" xfId="0" applyFont="1" applyFill="1" applyBorder="1" applyProtection="1">
      <protection locked="0"/>
    </xf>
    <xf numFmtId="0" fontId="13" fillId="32" borderId="17" xfId="0" applyFont="1" applyFill="1" applyBorder="1" applyProtection="1">
      <protection locked="0"/>
    </xf>
    <xf numFmtId="0" fontId="14" fillId="32" borderId="12" xfId="0" applyFont="1" applyFill="1" applyBorder="1" applyProtection="1">
      <protection locked="0"/>
    </xf>
    <xf numFmtId="0" fontId="13" fillId="32" borderId="16" xfId="0" applyFont="1" applyFill="1" applyBorder="1" applyAlignment="1">
      <alignment horizontal="left"/>
    </xf>
    <xf numFmtId="0" fontId="13" fillId="32" borderId="13" xfId="0" applyFont="1" applyFill="1" applyBorder="1"/>
    <xf numFmtId="0" fontId="13" fillId="32" borderId="13" xfId="0" applyFont="1" applyFill="1" applyBorder="1" applyAlignment="1">
      <alignment horizontal="center"/>
    </xf>
    <xf numFmtId="6" fontId="13" fillId="32" borderId="13" xfId="0" applyNumberFormat="1" applyFont="1" applyFill="1" applyBorder="1"/>
    <xf numFmtId="0" fontId="14" fillId="32" borderId="13" xfId="0" quotePrefix="1" applyFont="1" applyFill="1" applyBorder="1" applyAlignment="1">
      <alignment horizontal="left"/>
    </xf>
    <xf numFmtId="10" fontId="14" fillId="32" borderId="13" xfId="0" applyNumberFormat="1" applyFont="1" applyFill="1" applyBorder="1" applyAlignment="1">
      <alignment horizontal="left"/>
    </xf>
    <xf numFmtId="10" fontId="14" fillId="32" borderId="13" xfId="0" applyNumberFormat="1" applyFont="1" applyFill="1" applyBorder="1"/>
    <xf numFmtId="0" fontId="15" fillId="32" borderId="18" xfId="0" applyFont="1" applyFill="1" applyBorder="1" applyAlignment="1">
      <alignment horizontal="center"/>
    </xf>
    <xf numFmtId="0" fontId="15" fillId="32" borderId="22" xfId="0" applyFont="1" applyFill="1" applyBorder="1" applyAlignment="1">
      <alignment horizontal="center"/>
    </xf>
    <xf numFmtId="0" fontId="14" fillId="32" borderId="15" xfId="0" applyFont="1" applyFill="1" applyBorder="1"/>
    <xf numFmtId="10" fontId="60" fillId="32" borderId="21" xfId="0" applyNumberFormat="1" applyFont="1" applyFill="1" applyBorder="1" applyAlignment="1">
      <alignment horizontal="center"/>
    </xf>
    <xf numFmtId="0" fontId="61" fillId="32" borderId="21" xfId="0" applyFont="1" applyFill="1" applyBorder="1" applyAlignment="1">
      <alignment horizontal="center"/>
    </xf>
    <xf numFmtId="166" fontId="12" fillId="1" borderId="16" xfId="0" applyNumberFormat="1" applyFont="1" applyFill="1" applyBorder="1" applyAlignment="1">
      <alignment vertical="center"/>
    </xf>
    <xf numFmtId="168" fontId="8" fillId="1" borderId="0" xfId="0" applyNumberFormat="1" applyFont="1" applyFill="1" applyAlignment="1">
      <alignment wrapText="1"/>
    </xf>
    <xf numFmtId="0" fontId="12" fillId="1" borderId="13" xfId="0" applyFont="1" applyFill="1" applyBorder="1"/>
    <xf numFmtId="0" fontId="14" fillId="32" borderId="14" xfId="0" applyFont="1" applyFill="1" applyBorder="1"/>
    <xf numFmtId="0" fontId="14" fillId="32" borderId="16" xfId="0" applyFont="1" applyFill="1" applyBorder="1"/>
    <xf numFmtId="0" fontId="14" fillId="32" borderId="13" xfId="0" applyFont="1" applyFill="1" applyBorder="1"/>
    <xf numFmtId="0" fontId="14" fillId="32" borderId="13" xfId="0" applyFont="1" applyFill="1" applyBorder="1" applyAlignment="1">
      <alignment horizontal="right"/>
    </xf>
    <xf numFmtId="0" fontId="14" fillId="32" borderId="13" xfId="0" applyFont="1" applyFill="1" applyBorder="1" applyAlignment="1">
      <alignment horizontal="left"/>
    </xf>
    <xf numFmtId="0" fontId="14" fillId="32" borderId="12" xfId="0" applyFont="1" applyFill="1" applyBorder="1"/>
    <xf numFmtId="165" fontId="14" fillId="32" borderId="16" xfId="0" applyNumberFormat="1" applyFont="1" applyFill="1" applyBorder="1" applyAlignment="1">
      <alignment horizontal="left"/>
    </xf>
    <xf numFmtId="0" fontId="14" fillId="32" borderId="16" xfId="0" applyFont="1" applyFill="1" applyBorder="1" applyAlignment="1">
      <alignment horizontal="left"/>
    </xf>
    <xf numFmtId="0" fontId="14" fillId="32" borderId="19" xfId="0" applyFont="1" applyFill="1" applyBorder="1"/>
    <xf numFmtId="0" fontId="14" fillId="32" borderId="14" xfId="0" applyFont="1" applyFill="1" applyBorder="1" applyProtection="1">
      <protection locked="0"/>
    </xf>
    <xf numFmtId="0" fontId="14" fillId="32" borderId="18" xfId="0" applyFont="1" applyFill="1" applyBorder="1"/>
    <xf numFmtId="0" fontId="14" fillId="32" borderId="19" xfId="0" applyFont="1" applyFill="1" applyBorder="1" applyAlignment="1">
      <alignment horizontal="left"/>
    </xf>
    <xf numFmtId="0" fontId="23" fillId="32" borderId="0" xfId="0" applyFont="1" applyFill="1"/>
    <xf numFmtId="0" fontId="14" fillId="32" borderId="0" xfId="0" applyFont="1" applyFill="1"/>
    <xf numFmtId="0" fontId="14" fillId="32" borderId="14" xfId="0" applyFont="1" applyFill="1" applyBorder="1" applyAlignment="1">
      <alignment horizontal="left"/>
    </xf>
    <xf numFmtId="6" fontId="14" fillId="32" borderId="19" xfId="0" applyNumberFormat="1" applyFont="1" applyFill="1" applyBorder="1"/>
    <xf numFmtId="165" fontId="14" fillId="32" borderId="19" xfId="0" applyNumberFormat="1" applyFont="1" applyFill="1" applyBorder="1"/>
    <xf numFmtId="166" fontId="16" fillId="29" borderId="22" xfId="0" applyNumberFormat="1" applyFont="1" applyFill="1" applyBorder="1" applyAlignment="1">
      <alignment horizontal="center"/>
    </xf>
    <xf numFmtId="2" fontId="12" fillId="33" borderId="22" xfId="0" applyNumberFormat="1" applyFont="1" applyFill="1" applyBorder="1" applyProtection="1">
      <protection locked="0"/>
    </xf>
    <xf numFmtId="2" fontId="12" fillId="38" borderId="22" xfId="0" applyNumberFormat="1" applyFont="1" applyFill="1" applyBorder="1" applyProtection="1">
      <protection locked="0"/>
    </xf>
    <xf numFmtId="2" fontId="12" fillId="33" borderId="22" xfId="0" applyNumberFormat="1" applyFont="1" applyFill="1" applyBorder="1" applyAlignment="1" applyProtection="1">
      <alignment horizontal="right"/>
      <protection locked="0"/>
    </xf>
    <xf numFmtId="2" fontId="12" fillId="1" borderId="22" xfId="0" applyNumberFormat="1" applyFont="1" applyFill="1" applyBorder="1"/>
    <xf numFmtId="2" fontId="12" fillId="32" borderId="22" xfId="0" applyNumberFormat="1" applyFont="1" applyFill="1" applyBorder="1" applyAlignment="1">
      <alignment horizontal="right"/>
    </xf>
    <xf numFmtId="2" fontId="12" fillId="1" borderId="19" xfId="0" applyNumberFormat="1" applyFont="1" applyFill="1" applyBorder="1" applyAlignment="1">
      <alignment horizontal="right"/>
    </xf>
    <xf numFmtId="2" fontId="12" fillId="1" borderId="19" xfId="0" applyNumberFormat="1" applyFont="1" applyFill="1" applyBorder="1"/>
    <xf numFmtId="0" fontId="12" fillId="32" borderId="24" xfId="0" applyFont="1" applyFill="1" applyBorder="1" applyAlignment="1">
      <alignment horizontal="center"/>
    </xf>
    <xf numFmtId="0" fontId="12" fillId="32" borderId="22" xfId="0" applyFont="1" applyFill="1" applyBorder="1" applyAlignment="1">
      <alignment horizontal="center"/>
    </xf>
    <xf numFmtId="166" fontId="17" fillId="0" borderId="22" xfId="0" applyNumberFormat="1" applyFont="1" applyBorder="1" applyAlignment="1">
      <alignment horizontal="center" vertical="center"/>
    </xf>
    <xf numFmtId="166" fontId="62" fillId="33" borderId="22" xfId="0" applyNumberFormat="1" applyFont="1" applyFill="1" applyBorder="1" applyAlignment="1">
      <alignment horizontal="center"/>
    </xf>
    <xf numFmtId="0" fontId="55" fillId="32" borderId="22" xfId="0" applyFont="1" applyFill="1" applyBorder="1" applyAlignment="1">
      <alignment horizontal="right"/>
    </xf>
    <xf numFmtId="0" fontId="33" fillId="0" borderId="0" xfId="0" applyFont="1" applyAlignment="1">
      <alignment vertical="top" wrapText="1"/>
    </xf>
    <xf numFmtId="0" fontId="66" fillId="0" borderId="0" xfId="0" applyFont="1" applyAlignment="1">
      <alignment horizontal="center" vertical="center" wrapText="1"/>
    </xf>
    <xf numFmtId="0" fontId="66" fillId="0" borderId="0" xfId="0" applyFont="1" applyAlignment="1">
      <alignment horizontal="left" vertical="center" wrapText="1"/>
    </xf>
    <xf numFmtId="0" fontId="67" fillId="0" borderId="0" xfId="0" applyFont="1" applyAlignment="1">
      <alignment horizontal="center" wrapText="1"/>
    </xf>
    <xf numFmtId="0" fontId="68" fillId="0" borderId="0" xfId="0" applyFont="1" applyAlignment="1">
      <alignment horizontal="left" wrapText="1"/>
    </xf>
    <xf numFmtId="165" fontId="14" fillId="32" borderId="19" xfId="0" applyNumberFormat="1" applyFont="1" applyFill="1" applyBorder="1" applyAlignment="1">
      <alignment horizontal="right"/>
    </xf>
    <xf numFmtId="0" fontId="12" fillId="32" borderId="15" xfId="0" applyFont="1" applyFill="1" applyBorder="1"/>
    <xf numFmtId="0" fontId="12" fillId="32" borderId="14" xfId="0" applyFont="1" applyFill="1" applyBorder="1"/>
    <xf numFmtId="164" fontId="12" fillId="32" borderId="14" xfId="0" applyNumberFormat="1" applyFont="1" applyFill="1" applyBorder="1"/>
    <xf numFmtId="0" fontId="16" fillId="32" borderId="14" xfId="0" applyFont="1" applyFill="1" applyBorder="1" applyAlignment="1">
      <alignment horizontal="center"/>
    </xf>
    <xf numFmtId="5" fontId="12" fillId="32" borderId="17" xfId="0" applyNumberFormat="1" applyFont="1" applyFill="1" applyBorder="1"/>
    <xf numFmtId="2" fontId="12" fillId="33" borderId="22" xfId="0" applyNumberFormat="1" applyFont="1" applyFill="1" applyBorder="1" applyAlignment="1">
      <alignment horizontal="right"/>
    </xf>
    <xf numFmtId="2" fontId="12" fillId="38" borderId="22" xfId="0" applyNumberFormat="1" applyFont="1" applyFill="1" applyBorder="1" applyAlignment="1">
      <alignment horizontal="right"/>
    </xf>
    <xf numFmtId="166" fontId="17" fillId="32" borderId="16" xfId="0" applyNumberFormat="1" applyFont="1" applyFill="1" applyBorder="1" applyAlignment="1">
      <alignment vertical="center"/>
    </xf>
    <xf numFmtId="166" fontId="17" fillId="32" borderId="24" xfId="0" applyNumberFormat="1" applyFont="1" applyFill="1" applyBorder="1" applyAlignment="1">
      <alignment vertical="center"/>
    </xf>
    <xf numFmtId="165" fontId="14" fillId="32" borderId="18" xfId="0" applyNumberFormat="1" applyFont="1" applyFill="1" applyBorder="1" applyAlignment="1">
      <alignment horizontal="left"/>
    </xf>
    <xf numFmtId="0" fontId="24" fillId="0" borderId="0" xfId="0" applyFont="1" applyAlignment="1">
      <alignment horizontal="left" wrapText="1"/>
    </xf>
    <xf numFmtId="0" fontId="24" fillId="0" borderId="0" xfId="0" applyFont="1" applyAlignment="1">
      <alignment horizontal="center" wrapText="1"/>
    </xf>
    <xf numFmtId="0" fontId="56" fillId="0" borderId="0" xfId="0" applyFont="1" applyAlignment="1">
      <alignment horizontal="left" wrapText="1"/>
    </xf>
    <xf numFmtId="0" fontId="24" fillId="0" borderId="0" xfId="0" applyFont="1" applyAlignment="1">
      <alignment horizontal="left"/>
    </xf>
    <xf numFmtId="2" fontId="14" fillId="32" borderId="13" xfId="0" applyNumberFormat="1" applyFont="1" applyFill="1" applyBorder="1" applyAlignment="1">
      <alignment horizontal="left"/>
    </xf>
    <xf numFmtId="172" fontId="12" fillId="32" borderId="24" xfId="0" applyNumberFormat="1" applyFont="1" applyFill="1" applyBorder="1" applyAlignment="1">
      <alignment horizontal="left" indent="1"/>
    </xf>
    <xf numFmtId="172" fontId="12" fillId="0" borderId="24" xfId="0" applyNumberFormat="1" applyFont="1" applyBorder="1" applyAlignment="1">
      <alignment horizontal="center"/>
    </xf>
    <xf numFmtId="2" fontId="12" fillId="0" borderId="0" xfId="0" applyNumberFormat="1" applyFont="1" applyAlignment="1">
      <alignment horizontal="right"/>
    </xf>
    <xf numFmtId="2" fontId="12" fillId="1" borderId="30" xfId="0" applyNumberFormat="1" applyFont="1" applyFill="1" applyBorder="1"/>
    <xf numFmtId="165" fontId="14" fillId="32" borderId="14" xfId="0" applyNumberFormat="1" applyFont="1" applyFill="1" applyBorder="1" applyAlignment="1">
      <alignment horizontal="right"/>
    </xf>
    <xf numFmtId="2" fontId="12" fillId="39" borderId="22" xfId="0" applyNumberFormat="1" applyFont="1" applyFill="1" applyBorder="1" applyAlignment="1">
      <alignment vertical="center"/>
    </xf>
    <xf numFmtId="2" fontId="12" fillId="39" borderId="16" xfId="0" applyNumberFormat="1" applyFont="1" applyFill="1" applyBorder="1" applyAlignment="1">
      <alignment vertical="center"/>
    </xf>
    <xf numFmtId="10" fontId="71" fillId="32" borderId="21" xfId="0" applyNumberFormat="1" applyFont="1" applyFill="1" applyBorder="1" applyAlignment="1">
      <alignment horizontal="center"/>
    </xf>
    <xf numFmtId="166" fontId="17" fillId="0" borderId="0" xfId="0" applyNumberFormat="1" applyFont="1" applyAlignment="1">
      <alignment horizontal="left" vertical="center" indent="3"/>
    </xf>
    <xf numFmtId="2" fontId="12" fillId="0" borderId="43" xfId="0" applyNumberFormat="1" applyFont="1" applyBorder="1" applyAlignment="1">
      <alignment horizontal="right"/>
    </xf>
    <xf numFmtId="0" fontId="16" fillId="0" borderId="0" xfId="0" applyFont="1" applyAlignment="1">
      <alignment wrapText="1"/>
    </xf>
    <xf numFmtId="166" fontId="12" fillId="0" borderId="0" xfId="0" applyNumberFormat="1" applyFont="1" applyAlignment="1">
      <alignment horizontal="left" wrapText="1"/>
    </xf>
    <xf numFmtId="167" fontId="17" fillId="0" borderId="0" xfId="0" applyNumberFormat="1" applyFont="1" applyAlignment="1">
      <alignment horizontal="center"/>
    </xf>
    <xf numFmtId="0" fontId="17" fillId="0" borderId="0" xfId="0" applyFont="1" applyAlignment="1">
      <alignment horizontal="center"/>
    </xf>
    <xf numFmtId="0" fontId="12" fillId="32" borderId="13" xfId="0" applyFont="1" applyFill="1" applyBorder="1" applyAlignment="1">
      <alignment horizontal="right"/>
    </xf>
    <xf numFmtId="0" fontId="8" fillId="32" borderId="13" xfId="0" applyFont="1" applyFill="1" applyBorder="1"/>
    <xf numFmtId="0" fontId="13" fillId="32" borderId="20" xfId="0" applyFont="1" applyFill="1" applyBorder="1" applyProtection="1">
      <protection locked="0"/>
    </xf>
    <xf numFmtId="0" fontId="13" fillId="32" borderId="11" xfId="0" applyFont="1" applyFill="1" applyBorder="1" applyProtection="1">
      <protection locked="0"/>
    </xf>
    <xf numFmtId="166" fontId="34" fillId="0" borderId="0" xfId="0" applyNumberFormat="1" applyFont="1"/>
    <xf numFmtId="0" fontId="17" fillId="27" borderId="16" xfId="0" applyFont="1" applyFill="1" applyBorder="1"/>
    <xf numFmtId="0" fontId="17" fillId="27" borderId="18" xfId="0" applyFont="1" applyFill="1" applyBorder="1"/>
    <xf numFmtId="0" fontId="34" fillId="27" borderId="18" xfId="0" applyFont="1" applyFill="1" applyBorder="1"/>
    <xf numFmtId="0" fontId="17" fillId="27" borderId="43" xfId="0" applyFont="1" applyFill="1" applyBorder="1"/>
    <xf numFmtId="0" fontId="34" fillId="0" borderId="18" xfId="0" applyFont="1" applyBorder="1"/>
    <xf numFmtId="0" fontId="34" fillId="40" borderId="18" xfId="0" applyFont="1" applyFill="1" applyBorder="1"/>
    <xf numFmtId="2" fontId="12" fillId="1" borderId="69" xfId="0" applyNumberFormat="1" applyFont="1" applyFill="1" applyBorder="1" applyAlignment="1">
      <alignment horizontal="right"/>
    </xf>
    <xf numFmtId="2" fontId="12" fillId="1" borderId="70" xfId="0" applyNumberFormat="1" applyFont="1" applyFill="1" applyBorder="1" applyAlignment="1">
      <alignment horizontal="right"/>
    </xf>
    <xf numFmtId="5" fontId="63" fillId="32" borderId="30" xfId="47" applyNumberFormat="1" applyFont="1" applyFill="1" applyBorder="1" applyAlignment="1"/>
    <xf numFmtId="0" fontId="34" fillId="0" borderId="52" xfId="0" applyFont="1" applyBorder="1" applyAlignment="1">
      <alignment horizontal="center"/>
    </xf>
    <xf numFmtId="0" fontId="34" fillId="39" borderId="53" xfId="0" applyFont="1" applyFill="1" applyBorder="1" applyAlignment="1">
      <alignment horizontal="center"/>
    </xf>
    <xf numFmtId="164" fontId="14" fillId="0" borderId="0" xfId="0" applyNumberFormat="1" applyFont="1"/>
    <xf numFmtId="164" fontId="32" fillId="0" borderId="0" xfId="0" applyNumberFormat="1" applyFont="1"/>
    <xf numFmtId="0" fontId="13" fillId="0" borderId="0" xfId="0" applyFont="1" applyAlignment="1">
      <alignment horizontal="right"/>
    </xf>
    <xf numFmtId="0" fontId="14" fillId="0" borderId="0" xfId="0" applyFont="1"/>
    <xf numFmtId="0" fontId="13" fillId="0" borderId="0" xfId="0" applyFont="1"/>
    <xf numFmtId="6" fontId="13" fillId="0" borderId="0" xfId="0" applyNumberFormat="1" applyFont="1"/>
    <xf numFmtId="0" fontId="29" fillId="32" borderId="13" xfId="0" applyFont="1" applyFill="1" applyBorder="1"/>
    <xf numFmtId="0" fontId="29" fillId="32" borderId="13" xfId="0" applyFont="1" applyFill="1" applyBorder="1" applyAlignment="1">
      <alignment horizontal="left"/>
    </xf>
    <xf numFmtId="0" fontId="29" fillId="32" borderId="19" xfId="0" applyFont="1" applyFill="1" applyBorder="1"/>
    <xf numFmtId="0" fontId="29" fillId="32" borderId="19" xfId="0" applyFont="1" applyFill="1" applyBorder="1" applyAlignment="1">
      <alignment horizontal="left"/>
    </xf>
    <xf numFmtId="0" fontId="74" fillId="32" borderId="0" xfId="0" applyFont="1" applyFill="1"/>
    <xf numFmtId="0" fontId="74" fillId="32" borderId="0" xfId="0" applyFont="1" applyFill="1" applyAlignment="1">
      <alignment horizontal="right"/>
    </xf>
    <xf numFmtId="0" fontId="74" fillId="32" borderId="0" xfId="0" applyFont="1" applyFill="1" applyAlignment="1">
      <alignment horizontal="left"/>
    </xf>
    <xf numFmtId="0" fontId="4" fillId="0" borderId="0" xfId="49" applyAlignment="1">
      <alignment horizontal="center"/>
    </xf>
    <xf numFmtId="0" fontId="4" fillId="0" borderId="0" xfId="49"/>
    <xf numFmtId="173" fontId="4" fillId="0" borderId="0" xfId="49" applyNumberFormat="1" applyAlignment="1">
      <alignment horizontal="center"/>
    </xf>
    <xf numFmtId="0" fontId="4" fillId="0" borderId="43" xfId="49" applyBorder="1" applyAlignment="1">
      <alignment horizontal="right"/>
    </xf>
    <xf numFmtId="0" fontId="4" fillId="0" borderId="0" xfId="49" applyAlignment="1">
      <alignment horizontal="right"/>
    </xf>
    <xf numFmtId="173" fontId="77" fillId="0" borderId="54" xfId="49" applyNumberFormat="1" applyFont="1" applyBorder="1"/>
    <xf numFmtId="173" fontId="75" fillId="0" borderId="0" xfId="49" applyNumberFormat="1" applyFont="1" applyAlignment="1">
      <alignment horizontal="center"/>
    </xf>
    <xf numFmtId="173" fontId="78" fillId="0" borderId="0" xfId="49" applyNumberFormat="1" applyFont="1"/>
    <xf numFmtId="173" fontId="79" fillId="0" borderId="0" xfId="49" applyNumberFormat="1" applyFont="1"/>
    <xf numFmtId="0" fontId="4" fillId="0" borderId="46" xfId="49" applyBorder="1" applyAlignment="1">
      <alignment horizontal="right"/>
    </xf>
    <xf numFmtId="0" fontId="4" fillId="0" borderId="0" xfId="49" applyAlignment="1">
      <alignment vertical="top"/>
    </xf>
    <xf numFmtId="174" fontId="4" fillId="0" borderId="0" xfId="49" applyNumberFormat="1"/>
    <xf numFmtId="0" fontId="75" fillId="0" borderId="21" xfId="49" applyFont="1" applyBorder="1" applyAlignment="1">
      <alignment horizontal="center"/>
    </xf>
    <xf numFmtId="0" fontId="75" fillId="0" borderId="56" xfId="49" applyFont="1" applyBorder="1" applyAlignment="1">
      <alignment horizontal="center"/>
    </xf>
    <xf numFmtId="174" fontId="4" fillId="29" borderId="79" xfId="49" applyNumberFormat="1" applyFill="1" applyBorder="1"/>
    <xf numFmtId="174" fontId="4" fillId="0" borderId="79" xfId="49" applyNumberFormat="1" applyBorder="1"/>
    <xf numFmtId="0" fontId="75" fillId="0" borderId="61" xfId="49" applyFont="1" applyBorder="1" applyAlignment="1">
      <alignment horizontal="right"/>
    </xf>
    <xf numFmtId="173" fontId="77" fillId="0" borderId="30" xfId="49" applyNumberFormat="1" applyFont="1" applyBorder="1" applyAlignment="1">
      <alignment horizontal="center"/>
    </xf>
    <xf numFmtId="174" fontId="75" fillId="0" borderId="22" xfId="49" applyNumberFormat="1" applyFont="1" applyBorder="1" applyAlignment="1">
      <alignment horizontal="right"/>
    </xf>
    <xf numFmtId="174" fontId="75" fillId="0" borderId="66" xfId="49" applyNumberFormat="1" applyFont="1" applyBorder="1" applyAlignment="1">
      <alignment horizontal="right"/>
    </xf>
    <xf numFmtId="174" fontId="4" fillId="0" borderId="80" xfId="49" applyNumberFormat="1" applyBorder="1"/>
    <xf numFmtId="174" fontId="4" fillId="29" borderId="80" xfId="49" applyNumberFormat="1" applyFill="1" applyBorder="1"/>
    <xf numFmtId="0" fontId="75" fillId="29" borderId="61" xfId="49" applyFont="1" applyFill="1" applyBorder="1" applyAlignment="1">
      <alignment horizontal="right"/>
    </xf>
    <xf numFmtId="173" fontId="77" fillId="29" borderId="30" xfId="49" applyNumberFormat="1" applyFont="1" applyFill="1" applyBorder="1" applyAlignment="1">
      <alignment horizontal="center"/>
    </xf>
    <xf numFmtId="174" fontId="75" fillId="29" borderId="22" xfId="49" applyNumberFormat="1" applyFont="1" applyFill="1" applyBorder="1" applyAlignment="1">
      <alignment horizontal="right"/>
    </xf>
    <xf numFmtId="174" fontId="75" fillId="29" borderId="66" xfId="49" applyNumberFormat="1" applyFont="1" applyFill="1" applyBorder="1" applyAlignment="1">
      <alignment horizontal="right"/>
    </xf>
    <xf numFmtId="174" fontId="75" fillId="0" borderId="81" xfId="49" applyNumberFormat="1" applyFont="1" applyBorder="1"/>
    <xf numFmtId="174" fontId="75" fillId="0" borderId="0" xfId="49" applyNumberFormat="1" applyFont="1"/>
    <xf numFmtId="0" fontId="75" fillId="0" borderId="82" xfId="49" applyFont="1" applyBorder="1" applyAlignment="1">
      <alignment horizontal="right"/>
    </xf>
    <xf numFmtId="174" fontId="75" fillId="0" borderId="83" xfId="49" applyNumberFormat="1" applyFont="1" applyBorder="1" applyAlignment="1">
      <alignment horizontal="right"/>
    </xf>
    <xf numFmtId="174" fontId="75" fillId="0" borderId="78" xfId="49" applyNumberFormat="1" applyFont="1" applyBorder="1" applyAlignment="1">
      <alignment horizontal="right"/>
    </xf>
    <xf numFmtId="0" fontId="4" fillId="0" borderId="46" xfId="49" applyBorder="1"/>
    <xf numFmtId="0" fontId="4" fillId="0" borderId="23" xfId="49" applyBorder="1"/>
    <xf numFmtId="0" fontId="4" fillId="0" borderId="55" xfId="49" applyBorder="1"/>
    <xf numFmtId="174" fontId="75" fillId="0" borderId="84" xfId="49" applyNumberFormat="1" applyFont="1" applyBorder="1" applyAlignment="1">
      <alignment horizontal="right"/>
    </xf>
    <xf numFmtId="174" fontId="75" fillId="0" borderId="47" xfId="49" applyNumberFormat="1" applyFont="1" applyBorder="1" applyAlignment="1">
      <alignment horizontal="right"/>
    </xf>
    <xf numFmtId="0" fontId="75" fillId="0" borderId="73" xfId="49" applyFont="1" applyBorder="1" applyAlignment="1">
      <alignment horizontal="center"/>
    </xf>
    <xf numFmtId="0" fontId="76" fillId="0" borderId="43" xfId="49" applyFont="1" applyBorder="1"/>
    <xf numFmtId="166" fontId="76" fillId="0" borderId="0" xfId="49" applyNumberFormat="1" applyFont="1"/>
    <xf numFmtId="166" fontId="76" fillId="0" borderId="54" xfId="49" applyNumberFormat="1" applyFont="1" applyBorder="1"/>
    <xf numFmtId="0" fontId="76" fillId="0" borderId="0" xfId="49" applyFont="1"/>
    <xf numFmtId="0" fontId="76" fillId="0" borderId="46" xfId="49" applyFont="1" applyBorder="1"/>
    <xf numFmtId="0" fontId="76" fillId="0" borderId="23" xfId="49" applyFont="1" applyBorder="1"/>
    <xf numFmtId="166" fontId="76" fillId="0" borderId="23" xfId="49" applyNumberFormat="1" applyFont="1" applyBorder="1"/>
    <xf numFmtId="166" fontId="76" fillId="0" borderId="47" xfId="49" applyNumberFormat="1" applyFont="1" applyBorder="1"/>
    <xf numFmtId="0" fontId="4" fillId="0" borderId="43" xfId="49" applyBorder="1"/>
    <xf numFmtId="166" fontId="4" fillId="0" borderId="0" xfId="49" applyNumberFormat="1"/>
    <xf numFmtId="0" fontId="76" fillId="0" borderId="47" xfId="49" applyFont="1" applyBorder="1" applyAlignment="1">
      <alignment vertical="top" wrapText="1"/>
    </xf>
    <xf numFmtId="9" fontId="77" fillId="0" borderId="54" xfId="49" applyNumberFormat="1" applyFont="1" applyBorder="1"/>
    <xf numFmtId="0" fontId="81" fillId="0" borderId="0" xfId="0" applyFont="1"/>
    <xf numFmtId="9" fontId="81" fillId="0" borderId="0" xfId="0" applyNumberFormat="1" applyFont="1"/>
    <xf numFmtId="166" fontId="81" fillId="0" borderId="0" xfId="0" applyNumberFormat="1" applyFont="1"/>
    <xf numFmtId="166" fontId="12" fillId="1" borderId="0" xfId="0" applyNumberFormat="1" applyFont="1" applyFill="1" applyAlignment="1">
      <alignment vertical="center"/>
    </xf>
    <xf numFmtId="2" fontId="12" fillId="1" borderId="13" xfId="0" applyNumberFormat="1" applyFont="1" applyFill="1" applyBorder="1" applyAlignment="1">
      <alignment horizontal="right"/>
    </xf>
    <xf numFmtId="166" fontId="17" fillId="0" borderId="0" xfId="0" applyNumberFormat="1" applyFont="1" applyAlignment="1">
      <alignment horizontal="center" vertical="center"/>
    </xf>
    <xf numFmtId="166" fontId="17" fillId="0" borderId="0" xfId="0" applyNumberFormat="1" applyFont="1" applyAlignment="1">
      <alignment vertical="center"/>
    </xf>
    <xf numFmtId="166" fontId="16" fillId="0" borderId="0" xfId="0" applyNumberFormat="1" applyFont="1" applyAlignment="1">
      <alignment horizontal="center"/>
    </xf>
    <xf numFmtId="0" fontId="64" fillId="32" borderId="17" xfId="0" applyFont="1" applyFill="1" applyBorder="1"/>
    <xf numFmtId="0" fontId="13" fillId="32" borderId="16" xfId="0" applyFont="1" applyFill="1" applyBorder="1"/>
    <xf numFmtId="0" fontId="13" fillId="32" borderId="20" xfId="0" applyFont="1" applyFill="1" applyBorder="1" applyAlignment="1">
      <alignment horizontal="left"/>
    </xf>
    <xf numFmtId="0" fontId="13" fillId="32" borderId="11" xfId="0" applyFont="1" applyFill="1" applyBorder="1" applyAlignment="1">
      <alignment horizontal="left"/>
    </xf>
    <xf numFmtId="0" fontId="83" fillId="0" borderId="0" xfId="0" applyFont="1"/>
    <xf numFmtId="166" fontId="12" fillId="0" borderId="0" xfId="0" applyNumberFormat="1" applyFont="1" applyAlignment="1">
      <alignment horizontal="center"/>
    </xf>
    <xf numFmtId="165" fontId="14" fillId="32" borderId="12" xfId="0" applyNumberFormat="1" applyFont="1" applyFill="1" applyBorder="1" applyAlignment="1">
      <alignment horizontal="left"/>
    </xf>
    <xf numFmtId="0" fontId="63" fillId="32" borderId="14" xfId="0" applyFont="1" applyFill="1" applyBorder="1"/>
    <xf numFmtId="0" fontId="18" fillId="0" borderId="22" xfId="0" applyFont="1" applyBorder="1" applyAlignment="1">
      <alignment horizontal="center" vertical="center"/>
    </xf>
    <xf numFmtId="0" fontId="6" fillId="29" borderId="0" xfId="0" applyFont="1" applyFill="1"/>
    <xf numFmtId="0" fontId="5" fillId="29" borderId="0" xfId="0" applyFont="1" applyFill="1"/>
    <xf numFmtId="10" fontId="18" fillId="29" borderId="85" xfId="40" applyNumberFormat="1" applyFill="1" applyBorder="1"/>
    <xf numFmtId="10" fontId="18" fillId="29" borderId="86" xfId="40" applyNumberFormat="1" applyFill="1" applyBorder="1"/>
    <xf numFmtId="10" fontId="18" fillId="29" borderId="87" xfId="40" applyNumberFormat="1" applyFill="1" applyBorder="1"/>
    <xf numFmtId="10" fontId="18" fillId="0" borderId="88" xfId="40" applyNumberFormat="1" applyBorder="1"/>
    <xf numFmtId="10" fontId="18" fillId="0" borderId="89" xfId="40" applyNumberFormat="1" applyBorder="1"/>
    <xf numFmtId="10" fontId="18" fillId="0" borderId="90" xfId="40" applyNumberFormat="1" applyBorder="1"/>
    <xf numFmtId="10" fontId="18" fillId="0" borderId="91" xfId="40" applyNumberFormat="1" applyBorder="1"/>
    <xf numFmtId="10" fontId="18" fillId="0" borderId="92" xfId="40" applyNumberFormat="1" applyBorder="1"/>
    <xf numFmtId="10" fontId="18" fillId="0" borderId="85" xfId="40" applyNumberFormat="1" applyBorder="1"/>
    <xf numFmtId="10" fontId="18" fillId="0" borderId="93" xfId="40" applyNumberFormat="1" applyBorder="1"/>
    <xf numFmtId="10" fontId="18" fillId="0" borderId="94" xfId="40" applyNumberFormat="1" applyBorder="1"/>
    <xf numFmtId="10" fontId="18" fillId="29" borderId="95" xfId="40" applyNumberFormat="1" applyFill="1" applyBorder="1"/>
    <xf numFmtId="10" fontId="18" fillId="29" borderId="96" xfId="40" applyNumberFormat="1" applyFill="1" applyBorder="1"/>
    <xf numFmtId="10" fontId="18" fillId="0" borderId="95" xfId="40" applyNumberFormat="1" applyBorder="1"/>
    <xf numFmtId="10" fontId="18" fillId="0" borderId="96" xfId="40" applyNumberFormat="1" applyBorder="1"/>
    <xf numFmtId="10" fontId="0" fillId="29" borderId="0" xfId="0" applyNumberFormat="1" applyFill="1"/>
    <xf numFmtId="166" fontId="12" fillId="0" borderId="0" xfId="0" applyNumberFormat="1" applyFont="1" applyAlignment="1">
      <alignment horizontal="right"/>
    </xf>
    <xf numFmtId="0" fontId="17" fillId="1" borderId="19" xfId="0" applyFont="1" applyFill="1" applyBorder="1"/>
    <xf numFmtId="2" fontId="12" fillId="1" borderId="0" xfId="0" applyNumberFormat="1" applyFont="1" applyFill="1"/>
    <xf numFmtId="0" fontId="14" fillId="0" borderId="12" xfId="0" applyFont="1" applyBorder="1"/>
    <xf numFmtId="10" fontId="33" fillId="0" borderId="0" xfId="0" applyNumberFormat="1" applyFont="1"/>
    <xf numFmtId="10" fontId="12" fillId="1" borderId="69" xfId="0" applyNumberFormat="1" applyFont="1" applyFill="1" applyBorder="1" applyAlignment="1">
      <alignment horizontal="right"/>
    </xf>
    <xf numFmtId="10" fontId="34" fillId="40" borderId="67" xfId="0" applyNumberFormat="1" applyFont="1" applyFill="1" applyBorder="1"/>
    <xf numFmtId="10" fontId="12" fillId="1" borderId="70" xfId="0" applyNumberFormat="1" applyFont="1" applyFill="1" applyBorder="1" applyAlignment="1">
      <alignment horizontal="right"/>
    </xf>
    <xf numFmtId="0" fontId="17" fillId="39" borderId="22" xfId="0" applyFont="1" applyFill="1" applyBorder="1" applyAlignment="1">
      <alignment horizontal="center" vertical="center"/>
    </xf>
    <xf numFmtId="0" fontId="17" fillId="39" borderId="18" xfId="0" applyFont="1" applyFill="1" applyBorder="1" applyAlignment="1">
      <alignment horizontal="center" vertical="center"/>
    </xf>
    <xf numFmtId="0" fontId="23" fillId="32" borderId="19" xfId="0" applyFont="1" applyFill="1" applyBorder="1"/>
    <xf numFmtId="0" fontId="13" fillId="32" borderId="97" xfId="0" applyFont="1" applyFill="1" applyBorder="1" applyAlignment="1">
      <alignment horizontal="right"/>
    </xf>
    <xf numFmtId="0" fontId="14" fillId="32" borderId="19" xfId="0" quotePrefix="1" applyFont="1" applyFill="1" applyBorder="1" applyAlignment="1">
      <alignment horizontal="right"/>
    </xf>
    <xf numFmtId="0" fontId="12" fillId="1" borderId="0" xfId="0" applyFont="1" applyFill="1"/>
    <xf numFmtId="166" fontId="62" fillId="33" borderId="30" xfId="0" applyNumberFormat="1" applyFont="1" applyFill="1" applyBorder="1" applyAlignment="1">
      <alignment horizontal="center"/>
    </xf>
    <xf numFmtId="0" fontId="55" fillId="32" borderId="30" xfId="0" applyFont="1" applyFill="1" applyBorder="1" applyAlignment="1">
      <alignment horizontal="right"/>
    </xf>
    <xf numFmtId="0" fontId="12" fillId="32" borderId="0" xfId="0" applyFont="1" applyFill="1" applyAlignment="1">
      <alignment horizontal="right"/>
    </xf>
    <xf numFmtId="5" fontId="17" fillId="1" borderId="98" xfId="0" applyNumberFormat="1" applyFont="1" applyFill="1" applyBorder="1" applyAlignment="1">
      <alignment horizontal="center"/>
    </xf>
    <xf numFmtId="5" fontId="63" fillId="32" borderId="14" xfId="47" applyNumberFormat="1" applyFont="1" applyFill="1" applyBorder="1" applyAlignment="1"/>
    <xf numFmtId="166" fontId="17" fillId="1" borderId="0" xfId="0" applyNumberFormat="1" applyFont="1" applyFill="1" applyAlignment="1">
      <alignment horizontal="left" vertical="center" indent="3"/>
    </xf>
    <xf numFmtId="166" fontId="17" fillId="1" borderId="55" xfId="0" applyNumberFormat="1" applyFont="1" applyFill="1" applyBorder="1" applyAlignment="1">
      <alignment horizontal="left" vertical="center" indent="3"/>
    </xf>
    <xf numFmtId="0" fontId="14" fillId="32" borderId="14" xfId="0" applyFont="1" applyFill="1" applyBorder="1" applyAlignment="1">
      <alignment horizontal="center" wrapText="1"/>
    </xf>
    <xf numFmtId="0" fontId="14" fillId="32" borderId="0" xfId="0" applyFont="1" applyFill="1" applyAlignment="1">
      <alignment horizontal="center" wrapText="1"/>
    </xf>
    <xf numFmtId="0" fontId="13" fillId="32" borderId="17" xfId="0" applyFont="1" applyFill="1" applyBorder="1" applyAlignment="1">
      <alignment horizontal="left"/>
    </xf>
    <xf numFmtId="168" fontId="65" fillId="0" borderId="0" xfId="0" applyNumberFormat="1" applyFont="1" applyAlignment="1">
      <alignment horizontal="center" vertical="center" wrapText="1"/>
    </xf>
    <xf numFmtId="0" fontId="14" fillId="0" borderId="13" xfId="0" applyFont="1" applyBorder="1" applyAlignment="1">
      <alignment horizontal="center"/>
    </xf>
    <xf numFmtId="0" fontId="14" fillId="0" borderId="13" xfId="0" applyFont="1" applyBorder="1" applyAlignment="1" applyProtection="1">
      <alignment horizontal="center"/>
      <protection locked="0"/>
    </xf>
    <xf numFmtId="166" fontId="17" fillId="0" borderId="0" xfId="0" applyNumberFormat="1" applyFont="1" applyAlignment="1" applyProtection="1">
      <alignment horizontal="left" vertical="center" indent="3"/>
      <protection locked="0"/>
    </xf>
    <xf numFmtId="10" fontId="17" fillId="0" borderId="0" xfId="0" applyNumberFormat="1" applyFont="1" applyAlignment="1">
      <alignment horizontal="left" vertical="center" indent="3"/>
    </xf>
    <xf numFmtId="0" fontId="6" fillId="0" borderId="0" xfId="0" applyFont="1" applyAlignment="1">
      <alignment horizontal="center" vertical="center"/>
    </xf>
    <xf numFmtId="0" fontId="12" fillId="0" borderId="0" xfId="0" applyFont="1" applyAlignment="1">
      <alignment horizontal="center" wrapText="1"/>
    </xf>
    <xf numFmtId="0" fontId="15" fillId="0" borderId="0" xfId="0" applyFont="1" applyAlignment="1">
      <alignment horizontal="center"/>
    </xf>
    <xf numFmtId="5" fontId="17" fillId="0" borderId="0" xfId="0" applyNumberFormat="1" applyFont="1" applyAlignment="1">
      <alignment horizontal="center"/>
    </xf>
    <xf numFmtId="2" fontId="12" fillId="0" borderId="0" xfId="0" applyNumberFormat="1" applyFont="1" applyAlignment="1">
      <alignment vertical="top" wrapText="1"/>
    </xf>
    <xf numFmtId="0" fontId="24" fillId="0" borderId="0" xfId="0" applyFont="1" applyAlignment="1">
      <alignment horizontal="right"/>
    </xf>
    <xf numFmtId="6" fontId="24" fillId="0" borderId="0" xfId="0" applyNumberFormat="1" applyFont="1" applyAlignment="1">
      <alignment wrapText="1"/>
    </xf>
    <xf numFmtId="6" fontId="24" fillId="0" borderId="0" xfId="0" applyNumberFormat="1" applyFont="1" applyAlignment="1">
      <alignment horizontal="left"/>
    </xf>
    <xf numFmtId="42" fontId="17" fillId="0" borderId="60" xfId="0" applyNumberFormat="1" applyFont="1" applyBorder="1"/>
    <xf numFmtId="42" fontId="17" fillId="39" borderId="56" xfId="0" applyNumberFormat="1" applyFont="1" applyFill="1" applyBorder="1"/>
    <xf numFmtId="42" fontId="17" fillId="0" borderId="0" xfId="0" applyNumberFormat="1" applyFont="1"/>
    <xf numFmtId="42" fontId="17" fillId="0" borderId="61" xfId="0" applyNumberFormat="1" applyFont="1" applyBorder="1"/>
    <xf numFmtId="42" fontId="17" fillId="39" borderId="58" xfId="0" applyNumberFormat="1" applyFont="1" applyFill="1" applyBorder="1"/>
    <xf numFmtId="42" fontId="17" fillId="27" borderId="62" xfId="0" applyNumberFormat="1" applyFont="1" applyFill="1" applyBorder="1"/>
    <xf numFmtId="42" fontId="17" fillId="40" borderId="58" xfId="0" applyNumberFormat="1" applyFont="1" applyFill="1" applyBorder="1"/>
    <xf numFmtId="42" fontId="17" fillId="27" borderId="63" xfId="0" applyNumberFormat="1" applyFont="1" applyFill="1" applyBorder="1"/>
    <xf numFmtId="42" fontId="17" fillId="40" borderId="64" xfId="0" applyNumberFormat="1" applyFont="1" applyFill="1" applyBorder="1"/>
    <xf numFmtId="42" fontId="17" fillId="0" borderId="65" xfId="0" applyNumberFormat="1" applyFont="1" applyBorder="1"/>
    <xf numFmtId="42" fontId="17" fillId="39" borderId="57" xfId="0" applyNumberFormat="1" applyFont="1" applyFill="1" applyBorder="1"/>
    <xf numFmtId="42" fontId="17" fillId="0" borderId="62" xfId="0" applyNumberFormat="1" applyFont="1" applyBorder="1"/>
    <xf numFmtId="42" fontId="34" fillId="27" borderId="61" xfId="0" applyNumberFormat="1" applyFont="1" applyFill="1" applyBorder="1"/>
    <xf numFmtId="42" fontId="34" fillId="40" borderId="58" xfId="0" applyNumberFormat="1" applyFont="1" applyFill="1" applyBorder="1"/>
    <xf numFmtId="42" fontId="34" fillId="0" borderId="0" xfId="0" applyNumberFormat="1" applyFont="1"/>
    <xf numFmtId="42" fontId="17" fillId="27" borderId="59" xfId="0" applyNumberFormat="1" applyFont="1" applyFill="1" applyBorder="1"/>
    <xf numFmtId="42" fontId="34" fillId="27" borderId="63" xfId="0" applyNumberFormat="1" applyFont="1" applyFill="1" applyBorder="1"/>
    <xf numFmtId="42" fontId="34" fillId="40" borderId="64" xfId="0" applyNumberFormat="1" applyFont="1" applyFill="1" applyBorder="1"/>
    <xf numFmtId="42" fontId="17" fillId="0" borderId="63" xfId="0" applyNumberFormat="1" applyFont="1" applyBorder="1"/>
    <xf numFmtId="42" fontId="17" fillId="39" borderId="64" xfId="0" applyNumberFormat="1" applyFont="1" applyFill="1" applyBorder="1"/>
    <xf numFmtId="42" fontId="33" fillId="0" borderId="0" xfId="0" applyNumberFormat="1" applyFont="1"/>
    <xf numFmtId="42" fontId="34" fillId="0" borderId="63" xfId="0" applyNumberFormat="1" applyFont="1" applyBorder="1"/>
    <xf numFmtId="42" fontId="34" fillId="39" borderId="64" xfId="0" applyNumberFormat="1" applyFont="1" applyFill="1" applyBorder="1"/>
    <xf numFmtId="42" fontId="34" fillId="40" borderId="57" xfId="0" applyNumberFormat="1" applyFont="1" applyFill="1" applyBorder="1"/>
    <xf numFmtId="42" fontId="12" fillId="1" borderId="69" xfId="0" applyNumberFormat="1" applyFont="1" applyFill="1" applyBorder="1" applyAlignment="1">
      <alignment horizontal="right"/>
    </xf>
    <xf numFmtId="42" fontId="17" fillId="0" borderId="22" xfId="0" applyNumberFormat="1" applyFont="1" applyBorder="1"/>
    <xf numFmtId="42" fontId="17" fillId="0" borderId="18" xfId="0" applyNumberFormat="1" applyFont="1" applyBorder="1"/>
    <xf numFmtId="42" fontId="17" fillId="27" borderId="24" xfId="0" applyNumberFormat="1" applyFont="1" applyFill="1" applyBorder="1"/>
    <xf numFmtId="42" fontId="17" fillId="27" borderId="16" xfId="0" applyNumberFormat="1" applyFont="1" applyFill="1" applyBorder="1"/>
    <xf numFmtId="42" fontId="17" fillId="27" borderId="22" xfId="0" applyNumberFormat="1" applyFont="1" applyFill="1" applyBorder="1"/>
    <xf numFmtId="42" fontId="17" fillId="27" borderId="18" xfId="0" applyNumberFormat="1" applyFont="1" applyFill="1" applyBorder="1"/>
    <xf numFmtId="42" fontId="17" fillId="0" borderId="24" xfId="0" applyNumberFormat="1" applyFont="1" applyBorder="1"/>
    <xf numFmtId="42" fontId="17" fillId="0" borderId="16" xfId="0" applyNumberFormat="1" applyFont="1" applyBorder="1"/>
    <xf numFmtId="42" fontId="34" fillId="27" borderId="22" xfId="0" applyNumberFormat="1" applyFont="1" applyFill="1" applyBorder="1"/>
    <xf numFmtId="42" fontId="34" fillId="27" borderId="18" xfId="0" applyNumberFormat="1" applyFont="1" applyFill="1" applyBorder="1"/>
    <xf numFmtId="42" fontId="17" fillId="27" borderId="10" xfId="0" applyNumberFormat="1" applyFont="1" applyFill="1" applyBorder="1"/>
    <xf numFmtId="42" fontId="17" fillId="27" borderId="12" xfId="0" applyNumberFormat="1" applyFont="1" applyFill="1" applyBorder="1"/>
    <xf numFmtId="42" fontId="34" fillId="28" borderId="22" xfId="0" applyNumberFormat="1" applyFont="1" applyFill="1" applyBorder="1"/>
    <xf numFmtId="42" fontId="17" fillId="0" borderId="19" xfId="0" applyNumberFormat="1" applyFont="1" applyBorder="1"/>
    <xf numFmtId="0" fontId="11" fillId="0" borderId="44" xfId="0" applyFont="1" applyBorder="1" applyAlignment="1">
      <alignment horizontal="center" wrapText="1"/>
    </xf>
    <xf numFmtId="0" fontId="11" fillId="0" borderId="46" xfId="0" applyFont="1" applyBorder="1" applyAlignment="1">
      <alignment horizontal="center" wrapText="1"/>
    </xf>
    <xf numFmtId="0" fontId="11" fillId="0" borderId="68" xfId="0" applyFont="1" applyBorder="1" applyAlignment="1">
      <alignment horizontal="center" wrapText="1"/>
    </xf>
    <xf numFmtId="0" fontId="11" fillId="0" borderId="70" xfId="0" applyFont="1" applyBorder="1" applyAlignment="1">
      <alignment horizontal="center" wrapText="1"/>
    </xf>
    <xf numFmtId="172" fontId="12" fillId="32" borderId="24" xfId="0" applyNumberFormat="1" applyFont="1" applyFill="1" applyBorder="1" applyAlignment="1">
      <alignment horizontal="center"/>
    </xf>
    <xf numFmtId="0" fontId="76" fillId="42" borderId="43" xfId="49" applyFont="1" applyFill="1" applyBorder="1"/>
    <xf numFmtId="0" fontId="76" fillId="42" borderId="75" xfId="49" applyFont="1" applyFill="1" applyBorder="1"/>
    <xf numFmtId="166" fontId="76" fillId="42" borderId="0" xfId="49" applyNumberFormat="1" applyFont="1" applyFill="1"/>
    <xf numFmtId="166" fontId="76" fillId="42" borderId="54" xfId="49" applyNumberFormat="1" applyFont="1" applyFill="1" applyBorder="1"/>
    <xf numFmtId="173" fontId="77" fillId="0" borderId="99" xfId="49" applyNumberFormat="1" applyFont="1" applyBorder="1" applyAlignment="1">
      <alignment horizontal="center"/>
    </xf>
    <xf numFmtId="0" fontId="58" fillId="0" borderId="51" xfId="0" applyFont="1" applyBorder="1" applyAlignment="1">
      <alignment horizontal="center" vertical="center"/>
    </xf>
    <xf numFmtId="0" fontId="11" fillId="0" borderId="22" xfId="0" applyFont="1" applyBorder="1" applyAlignment="1">
      <alignment horizontal="center" vertical="center" wrapText="1" shrinkToFit="1"/>
    </xf>
    <xf numFmtId="9" fontId="33" fillId="0" borderId="22" xfId="0" applyNumberFormat="1" applyFont="1" applyBorder="1" applyAlignment="1">
      <alignment horizontal="center" vertical="center"/>
    </xf>
    <xf numFmtId="0" fontId="33" fillId="0" borderId="19" xfId="0" applyFont="1" applyBorder="1" applyAlignment="1">
      <alignment vertical="center"/>
    </xf>
    <xf numFmtId="0" fontId="33" fillId="0" borderId="30" xfId="0" applyFont="1" applyBorder="1" applyAlignment="1">
      <alignment vertical="center"/>
    </xf>
    <xf numFmtId="0" fontId="82" fillId="1" borderId="13" xfId="0" applyFont="1" applyFill="1" applyBorder="1" applyAlignment="1">
      <alignment vertical="top" wrapText="1"/>
    </xf>
    <xf numFmtId="0" fontId="82" fillId="1" borderId="0" xfId="0" applyFont="1" applyFill="1" applyAlignment="1">
      <alignment vertical="top" wrapText="1"/>
    </xf>
    <xf numFmtId="0" fontId="2" fillId="0" borderId="0" xfId="51" applyAlignment="1">
      <alignment vertical="center"/>
    </xf>
    <xf numFmtId="0" fontId="2" fillId="0" borderId="0" xfId="51" applyAlignment="1">
      <alignment vertical="center" wrapText="1"/>
    </xf>
    <xf numFmtId="0" fontId="2" fillId="0" borderId="0" xfId="51" applyAlignment="1">
      <alignment horizontal="center" vertical="center"/>
    </xf>
    <xf numFmtId="0" fontId="91" fillId="0" borderId="0" xfId="51" applyFont="1" applyAlignment="1">
      <alignment vertical="center" wrapText="1"/>
    </xf>
    <xf numFmtId="0" fontId="94" fillId="0" borderId="0" xfId="50" applyFont="1" applyAlignment="1">
      <alignment vertical="center" wrapText="1"/>
    </xf>
    <xf numFmtId="0" fontId="97" fillId="0" borderId="0" xfId="51" applyFont="1" applyAlignment="1">
      <alignment vertical="center"/>
    </xf>
    <xf numFmtId="0" fontId="99" fillId="0" borderId="0" xfId="51" applyFont="1" applyAlignment="1">
      <alignment vertical="center"/>
    </xf>
    <xf numFmtId="0" fontId="94" fillId="0" borderId="0" xfId="51" applyFont="1" applyAlignment="1">
      <alignment vertical="center"/>
    </xf>
    <xf numFmtId="0" fontId="93" fillId="0" borderId="0" xfId="51" applyFont="1" applyAlignment="1">
      <alignment vertical="center" wrapText="1"/>
    </xf>
    <xf numFmtId="0" fontId="98" fillId="0" borderId="0" xfId="51" applyFont="1" applyAlignment="1">
      <alignment vertical="center"/>
    </xf>
    <xf numFmtId="0" fontId="92" fillId="0" borderId="22" xfId="51" applyFont="1" applyBorder="1" applyAlignment="1">
      <alignment vertical="center" wrapText="1"/>
    </xf>
    <xf numFmtId="0" fontId="92" fillId="0" borderId="22" xfId="51" applyFont="1" applyBorder="1" applyAlignment="1">
      <alignment vertical="center"/>
    </xf>
    <xf numFmtId="166" fontId="17" fillId="32" borderId="0" xfId="0" applyNumberFormat="1" applyFont="1" applyFill="1" applyAlignment="1">
      <alignment horizontal="left"/>
    </xf>
    <xf numFmtId="0" fontId="12" fillId="32" borderId="22" xfId="0" applyFont="1" applyFill="1" applyBorder="1" applyAlignment="1">
      <alignment horizontal="center" vertical="center" wrapText="1"/>
    </xf>
    <xf numFmtId="0" fontId="12" fillId="32" borderId="30" xfId="0" applyFont="1" applyFill="1" applyBorder="1" applyAlignment="1">
      <alignment horizontal="center" vertical="center" wrapText="1"/>
    </xf>
    <xf numFmtId="0" fontId="12" fillId="0" borderId="30" xfId="0" applyFont="1" applyBorder="1" applyAlignment="1">
      <alignment horizontal="center" vertical="center" wrapText="1"/>
    </xf>
    <xf numFmtId="0" fontId="12" fillId="0" borderId="22" xfId="0" applyFont="1" applyBorder="1" applyAlignment="1">
      <alignment horizontal="center" vertical="center" wrapText="1"/>
    </xf>
    <xf numFmtId="0" fontId="75" fillId="0" borderId="71" xfId="49" applyFont="1" applyBorder="1" applyAlignment="1">
      <alignment horizontal="center"/>
    </xf>
    <xf numFmtId="0" fontId="75" fillId="0" borderId="72" xfId="49" applyFont="1" applyBorder="1" applyAlignment="1">
      <alignment horizontal="center"/>
    </xf>
    <xf numFmtId="0" fontId="4" fillId="0" borderId="77" xfId="49" applyBorder="1" applyAlignment="1">
      <alignment horizontal="right"/>
    </xf>
    <xf numFmtId="0" fontId="4" fillId="0" borderId="77" xfId="49" applyBorder="1"/>
    <xf numFmtId="174" fontId="4" fillId="29" borderId="100" xfId="49" applyNumberFormat="1" applyFill="1" applyBorder="1"/>
    <xf numFmtId="174" fontId="4" fillId="0" borderId="101" xfId="49" applyNumberFormat="1" applyBorder="1"/>
    <xf numFmtId="174" fontId="4" fillId="0" borderId="100" xfId="49" applyNumberFormat="1" applyBorder="1"/>
    <xf numFmtId="174" fontId="4" fillId="29" borderId="101" xfId="49" applyNumberFormat="1" applyFill="1" applyBorder="1"/>
    <xf numFmtId="173" fontId="81" fillId="0" borderId="104" xfId="49" applyNumberFormat="1" applyFont="1" applyBorder="1" applyAlignment="1">
      <alignment horizontal="center"/>
    </xf>
    <xf numFmtId="174" fontId="4" fillId="0" borderId="105" xfId="49" applyNumberFormat="1" applyBorder="1"/>
    <xf numFmtId="174" fontId="4" fillId="0" borderId="106" xfId="49" applyNumberFormat="1" applyBorder="1"/>
    <xf numFmtId="0" fontId="75" fillId="0" borderId="114" xfId="49" applyFont="1" applyBorder="1"/>
    <xf numFmtId="0" fontId="1" fillId="0" borderId="14" xfId="49" applyFont="1" applyBorder="1" applyAlignment="1">
      <alignment horizontal="right"/>
    </xf>
    <xf numFmtId="173" fontId="81" fillId="0" borderId="117" xfId="49" applyNumberFormat="1" applyFont="1" applyBorder="1" applyAlignment="1">
      <alignment horizontal="center"/>
    </xf>
    <xf numFmtId="173" fontId="81" fillId="0" borderId="107" xfId="49" applyNumberFormat="1" applyFont="1" applyBorder="1" applyAlignment="1">
      <alignment horizontal="center"/>
    </xf>
    <xf numFmtId="174" fontId="4" fillId="29" borderId="105" xfId="49" applyNumberFormat="1" applyFill="1" applyBorder="1"/>
    <xf numFmtId="174" fontId="4" fillId="29" borderId="106" xfId="49" applyNumberFormat="1" applyFill="1" applyBorder="1"/>
    <xf numFmtId="0" fontId="101" fillId="29" borderId="22" xfId="0" applyFont="1" applyFill="1" applyBorder="1"/>
    <xf numFmtId="0" fontId="101" fillId="0" borderId="22" xfId="0" applyFont="1" applyBorder="1" applyAlignment="1">
      <alignment horizontal="left"/>
    </xf>
    <xf numFmtId="0" fontId="15" fillId="0" borderId="0" xfId="0" applyFont="1"/>
    <xf numFmtId="166" fontId="17" fillId="32" borderId="22" xfId="0" applyNumberFormat="1" applyFont="1" applyFill="1" applyBorder="1" applyAlignment="1">
      <alignment horizontal="center"/>
    </xf>
    <xf numFmtId="42" fontId="17" fillId="40" borderId="56" xfId="0" applyNumberFormat="1" applyFont="1" applyFill="1" applyBorder="1"/>
    <xf numFmtId="0" fontId="17" fillId="27" borderId="21" xfId="0" applyFont="1" applyFill="1" applyBorder="1"/>
    <xf numFmtId="42" fontId="34" fillId="43" borderId="58" xfId="0" applyNumberFormat="1" applyFont="1" applyFill="1" applyBorder="1"/>
    <xf numFmtId="0" fontId="17" fillId="0" borderId="18" xfId="0" applyFont="1" applyBorder="1" applyAlignment="1">
      <alignment horizontal="left"/>
    </xf>
    <xf numFmtId="0" fontId="101" fillId="0" borderId="19" xfId="0" applyFont="1" applyBorder="1"/>
    <xf numFmtId="0" fontId="101" fillId="0" borderId="19" xfId="0" applyFont="1" applyBorder="1" applyAlignment="1">
      <alignment horizontal="left"/>
    </xf>
    <xf numFmtId="166" fontId="15" fillId="0" borderId="19" xfId="0" applyNumberFormat="1" applyFont="1" applyBorder="1" applyAlignment="1" applyProtection="1">
      <alignment horizontal="center" vertical="center"/>
      <protection locked="0"/>
    </xf>
    <xf numFmtId="0" fontId="12" fillId="0" borderId="0" xfId="0" applyFont="1" applyAlignment="1">
      <alignment horizontal="right"/>
    </xf>
    <xf numFmtId="0" fontId="101" fillId="0" borderId="14" xfId="0" applyFont="1" applyBorder="1" applyAlignment="1">
      <alignment horizontal="center"/>
    </xf>
    <xf numFmtId="42" fontId="34" fillId="40" borderId="118" xfId="0" applyNumberFormat="1" applyFont="1" applyFill="1" applyBorder="1"/>
    <xf numFmtId="10" fontId="34" fillId="40" borderId="118" xfId="0" applyNumberFormat="1" applyFont="1" applyFill="1" applyBorder="1"/>
    <xf numFmtId="0" fontId="101" fillId="29" borderId="83" xfId="0" applyFont="1" applyFill="1" applyBorder="1"/>
    <xf numFmtId="0" fontId="101" fillId="0" borderId="83" xfId="0" applyFont="1" applyBorder="1" applyAlignment="1">
      <alignment horizontal="left"/>
    </xf>
    <xf numFmtId="0" fontId="12" fillId="0" borderId="103" xfId="0" applyFont="1" applyBorder="1"/>
    <xf numFmtId="0" fontId="12" fillId="0" borderId="103" xfId="0" applyFont="1" applyBorder="1" applyAlignment="1">
      <alignment horizontal="right"/>
    </xf>
    <xf numFmtId="166" fontId="17" fillId="0" borderId="35" xfId="0" applyNumberFormat="1" applyFont="1" applyBorder="1" applyAlignment="1">
      <alignment horizontal="left" vertical="center" indent="3"/>
    </xf>
    <xf numFmtId="10" fontId="17" fillId="32" borderId="13" xfId="0" applyNumberFormat="1" applyFont="1" applyFill="1" applyBorder="1" applyAlignment="1">
      <alignment horizontal="left"/>
    </xf>
    <xf numFmtId="166" fontId="17" fillId="32" borderId="14" xfId="0" applyNumberFormat="1" applyFont="1" applyFill="1" applyBorder="1" applyAlignment="1">
      <alignment horizontal="left"/>
    </xf>
    <xf numFmtId="0" fontId="24" fillId="0" borderId="0" xfId="0" applyFont="1" applyAlignment="1">
      <alignment wrapText="1"/>
    </xf>
    <xf numFmtId="0" fontId="25" fillId="0" borderId="0" xfId="0" applyFont="1" applyAlignment="1">
      <alignment horizontal="left"/>
    </xf>
    <xf numFmtId="0" fontId="26" fillId="0" borderId="0" xfId="0" applyFont="1" applyAlignment="1">
      <alignment wrapText="1"/>
    </xf>
    <xf numFmtId="0" fontId="25" fillId="0" borderId="0" xfId="0" applyFont="1" applyAlignment="1">
      <alignment wrapText="1"/>
    </xf>
    <xf numFmtId="0" fontId="26" fillId="0" borderId="26" xfId="0" applyFont="1" applyBorder="1"/>
    <xf numFmtId="0" fontId="104" fillId="0" borderId="0" xfId="0" applyFont="1"/>
    <xf numFmtId="44" fontId="24" fillId="0" borderId="0" xfId="52" applyFont="1"/>
    <xf numFmtId="44" fontId="25" fillId="0" borderId="0" xfId="52" applyFont="1"/>
    <xf numFmtId="0" fontId="105" fillId="0" borderId="0" xfId="0" applyFont="1"/>
    <xf numFmtId="0" fontId="52" fillId="0" borderId="0" xfId="39" applyFont="1" applyAlignment="1">
      <alignment horizontal="right"/>
    </xf>
    <xf numFmtId="8" fontId="24" fillId="0" borderId="0" xfId="0" applyNumberFormat="1" applyFont="1" applyAlignment="1">
      <alignment wrapText="1"/>
    </xf>
    <xf numFmtId="0" fontId="104" fillId="0" borderId="23" xfId="0" applyFont="1" applyBorder="1"/>
    <xf numFmtId="44" fontId="24" fillId="0" borderId="0" xfId="52" applyFont="1" applyAlignment="1"/>
    <xf numFmtId="0" fontId="106" fillId="0" borderId="0" xfId="0" applyFont="1"/>
    <xf numFmtId="0" fontId="24" fillId="0" borderId="26" xfId="0" applyFont="1" applyBorder="1"/>
    <xf numFmtId="44" fontId="24" fillId="0" borderId="0" xfId="52" applyFont="1" applyBorder="1" applyAlignment="1">
      <alignment wrapText="1"/>
    </xf>
    <xf numFmtId="0" fontId="108" fillId="0" borderId="0" xfId="53" applyFont="1"/>
    <xf numFmtId="44" fontId="24" fillId="0" borderId="0" xfId="52" applyFont="1" applyBorder="1" applyAlignment="1">
      <alignment horizontal="left"/>
    </xf>
    <xf numFmtId="44" fontId="104" fillId="0" borderId="0" xfId="52" applyFont="1"/>
    <xf numFmtId="44" fontId="24" fillId="0" borderId="23" xfId="52" applyFont="1" applyBorder="1"/>
    <xf numFmtId="44" fontId="104" fillId="0" borderId="23" xfId="52" applyFont="1" applyBorder="1"/>
    <xf numFmtId="44" fontId="24" fillId="0" borderId="0" xfId="52" applyFont="1" applyBorder="1" applyAlignment="1">
      <alignment horizontal="left" vertical="top"/>
    </xf>
    <xf numFmtId="44" fontId="24" fillId="0" borderId="0" xfId="52" applyFont="1" applyBorder="1" applyAlignment="1"/>
    <xf numFmtId="44" fontId="24" fillId="0" borderId="0" xfId="52" applyFont="1" applyAlignment="1">
      <alignment wrapText="1"/>
    </xf>
    <xf numFmtId="0" fontId="24" fillId="0" borderId="0" xfId="0" applyFont="1" applyAlignment="1">
      <alignment horizontal="left" wrapText="1" indent="1"/>
    </xf>
    <xf numFmtId="176" fontId="24" fillId="0" borderId="0" xfId="52" applyNumberFormat="1" applyFont="1"/>
    <xf numFmtId="176" fontId="24" fillId="0" borderId="0" xfId="52" applyNumberFormat="1" applyFont="1" applyBorder="1" applyAlignment="1">
      <alignment horizontal="left" wrapText="1"/>
    </xf>
    <xf numFmtId="176" fontId="24" fillId="0" borderId="0" xfId="52" applyNumberFormat="1" applyFont="1" applyBorder="1" applyAlignment="1">
      <alignment horizontal="left"/>
    </xf>
    <xf numFmtId="176" fontId="24" fillId="0" borderId="0" xfId="52" applyNumberFormat="1" applyFont="1" applyBorder="1" applyAlignment="1">
      <alignment wrapText="1"/>
    </xf>
    <xf numFmtId="0" fontId="25" fillId="0" borderId="0" xfId="0" applyFont="1" applyAlignment="1">
      <alignment horizontal="left" wrapText="1"/>
    </xf>
    <xf numFmtId="6" fontId="104" fillId="0" borderId="0" xfId="0" applyNumberFormat="1" applyFont="1"/>
    <xf numFmtId="0" fontId="26" fillId="0" borderId="13" xfId="0" applyFont="1" applyBorder="1" applyAlignment="1">
      <alignment wrapText="1"/>
    </xf>
    <xf numFmtId="0" fontId="24" fillId="0" borderId="13" xfId="0" applyFont="1" applyBorder="1"/>
    <xf numFmtId="14" fontId="0" fillId="0" borderId="0" xfId="0" applyNumberFormat="1"/>
    <xf numFmtId="0" fontId="109" fillId="0" borderId="0" xfId="0" applyFont="1" applyAlignment="1">
      <alignment horizontal="center"/>
    </xf>
    <xf numFmtId="14" fontId="14" fillId="32" borderId="15" xfId="0" applyNumberFormat="1" applyFont="1" applyFill="1" applyBorder="1"/>
    <xf numFmtId="0" fontId="14" fillId="32" borderId="17" xfId="0" applyFont="1" applyFill="1" applyBorder="1"/>
    <xf numFmtId="14" fontId="110" fillId="32" borderId="14" xfId="0" applyNumberFormat="1" applyFont="1" applyFill="1" applyBorder="1" applyAlignment="1">
      <alignment horizontal="center"/>
    </xf>
    <xf numFmtId="14" fontId="14" fillId="32" borderId="14" xfId="0" applyNumberFormat="1" applyFont="1" applyFill="1" applyBorder="1" applyAlignment="1">
      <alignment horizontal="center"/>
    </xf>
    <xf numFmtId="14" fontId="111" fillId="0" borderId="0" xfId="0" applyNumberFormat="1" applyFont="1"/>
    <xf numFmtId="2" fontId="111" fillId="0" borderId="0" xfId="0" applyNumberFormat="1" applyFont="1"/>
    <xf numFmtId="2" fontId="7" fillId="0" borderId="0" xfId="0" applyNumberFormat="1" applyFont="1"/>
    <xf numFmtId="0" fontId="17" fillId="29" borderId="18" xfId="0" applyFont="1" applyFill="1" applyBorder="1"/>
    <xf numFmtId="0" fontId="34" fillId="29" borderId="18" xfId="0" applyFont="1" applyFill="1" applyBorder="1"/>
    <xf numFmtId="42" fontId="34" fillId="29" borderId="65" xfId="0" applyNumberFormat="1" applyFont="1" applyFill="1" applyBorder="1"/>
    <xf numFmtId="0" fontId="17" fillId="29" borderId="19" xfId="0" applyFont="1" applyFill="1" applyBorder="1"/>
    <xf numFmtId="42" fontId="34" fillId="29" borderId="61" xfId="0" applyNumberFormat="1" applyFont="1" applyFill="1" applyBorder="1"/>
    <xf numFmtId="0" fontId="17" fillId="29" borderId="43" xfId="0" applyFont="1" applyFill="1" applyBorder="1"/>
    <xf numFmtId="42" fontId="17" fillId="29" borderId="59" xfId="0" applyNumberFormat="1" applyFont="1" applyFill="1" applyBorder="1"/>
    <xf numFmtId="42" fontId="17" fillId="29" borderId="61" xfId="0" applyNumberFormat="1" applyFont="1" applyFill="1" applyBorder="1"/>
    <xf numFmtId="42" fontId="34" fillId="29" borderId="63" xfId="0" applyNumberFormat="1" applyFont="1" applyFill="1" applyBorder="1"/>
    <xf numFmtId="42" fontId="34" fillId="29" borderId="118" xfId="0" applyNumberFormat="1" applyFont="1" applyFill="1" applyBorder="1"/>
    <xf numFmtId="6" fontId="24" fillId="0" borderId="0" xfId="0" applyNumberFormat="1" applyFont="1"/>
    <xf numFmtId="0" fontId="24" fillId="0" borderId="14" xfId="0" applyFont="1" applyBorder="1" applyAlignment="1">
      <alignment horizontal="center"/>
    </xf>
    <xf numFmtId="0" fontId="24" fillId="0" borderId="14" xfId="0" applyFont="1" applyBorder="1"/>
    <xf numFmtId="0" fontId="111" fillId="0" borderId="0" xfId="0" applyFont="1"/>
    <xf numFmtId="0" fontId="111" fillId="0" borderId="0" xfId="0" applyFont="1" applyAlignment="1">
      <alignment horizontal="right"/>
    </xf>
    <xf numFmtId="173" fontId="77" fillId="0" borderId="83" xfId="49" applyNumberFormat="1" applyFont="1" applyBorder="1" applyAlignment="1">
      <alignment horizontal="center"/>
    </xf>
    <xf numFmtId="0" fontId="6" fillId="0" borderId="0" xfId="34" applyFont="1" applyAlignment="1" applyProtection="1">
      <alignment wrapText="1"/>
    </xf>
    <xf numFmtId="0" fontId="6" fillId="0" borderId="12" xfId="34" applyFont="1" applyBorder="1" applyAlignment="1" applyProtection="1"/>
    <xf numFmtId="42" fontId="34" fillId="40" borderId="117" xfId="0" applyNumberFormat="1" applyFont="1" applyFill="1" applyBorder="1"/>
    <xf numFmtId="177" fontId="17" fillId="0" borderId="0" xfId="0" applyNumberFormat="1" applyFont="1"/>
    <xf numFmtId="177" fontId="34" fillId="40" borderId="121" xfId="0" applyNumberFormat="1" applyFont="1" applyFill="1" applyBorder="1" applyAlignment="1">
      <alignment horizontal="center"/>
    </xf>
    <xf numFmtId="42" fontId="12" fillId="1" borderId="68" xfId="0" applyNumberFormat="1" applyFont="1" applyFill="1" applyBorder="1" applyAlignment="1">
      <alignment horizontal="right"/>
    </xf>
    <xf numFmtId="0" fontId="112" fillId="32" borderId="22" xfId="0" applyFont="1" applyFill="1" applyBorder="1" applyAlignment="1">
      <alignment horizontal="center" vertical="center" wrapText="1"/>
    </xf>
    <xf numFmtId="2" fontId="112" fillId="32" borderId="22" xfId="0" applyNumberFormat="1" applyFont="1" applyFill="1" applyBorder="1" applyAlignment="1">
      <alignment horizontal="center" vertical="center" wrapText="1"/>
    </xf>
    <xf numFmtId="0" fontId="55" fillId="32" borderId="22" xfId="0" applyFont="1" applyFill="1" applyBorder="1" applyAlignment="1">
      <alignment horizontal="center" vertical="center" wrapText="1"/>
    </xf>
    <xf numFmtId="2" fontId="55" fillId="32" borderId="22" xfId="0" applyNumberFormat="1" applyFont="1" applyFill="1" applyBorder="1" applyAlignment="1">
      <alignment horizontal="center" vertical="center" wrapText="1"/>
    </xf>
    <xf numFmtId="0" fontId="113" fillId="39" borderId="22" xfId="0" applyFont="1" applyFill="1" applyBorder="1" applyAlignment="1">
      <alignment horizontal="center" vertical="center" wrapText="1"/>
    </xf>
    <xf numFmtId="2" fontId="113" fillId="39" borderId="22" xfId="0" applyNumberFormat="1" applyFont="1" applyFill="1" applyBorder="1" applyAlignment="1">
      <alignment horizontal="center" vertical="center" wrapText="1"/>
    </xf>
    <xf numFmtId="164" fontId="14" fillId="0" borderId="0" xfId="0" applyNumberFormat="1" applyFont="1" applyAlignment="1">
      <alignment horizontal="right"/>
    </xf>
    <xf numFmtId="2" fontId="83" fillId="0" borderId="0" xfId="0" applyNumberFormat="1" applyFont="1"/>
    <xf numFmtId="42" fontId="12" fillId="1" borderId="70" xfId="0" applyNumberFormat="1" applyFont="1" applyFill="1" applyBorder="1" applyAlignment="1">
      <alignment horizontal="right"/>
    </xf>
    <xf numFmtId="0" fontId="34" fillId="39" borderId="18" xfId="0" applyFont="1" applyFill="1" applyBorder="1"/>
    <xf numFmtId="42" fontId="34" fillId="39" borderId="117" xfId="0" applyNumberFormat="1" applyFont="1" applyFill="1" applyBorder="1"/>
    <xf numFmtId="42" fontId="14" fillId="1" borderId="69" xfId="0" applyNumberFormat="1" applyFont="1" applyFill="1" applyBorder="1" applyAlignment="1">
      <alignment horizontal="right"/>
    </xf>
    <xf numFmtId="177" fontId="14" fillId="0" borderId="0" xfId="0" applyNumberFormat="1" applyFont="1"/>
    <xf numFmtId="0" fontId="14" fillId="39" borderId="18" xfId="0" applyFont="1" applyFill="1" applyBorder="1" applyAlignment="1">
      <alignment horizontal="left"/>
    </xf>
    <xf numFmtId="42" fontId="14" fillId="39" borderId="117" xfId="0" applyNumberFormat="1" applyFont="1" applyFill="1" applyBorder="1"/>
    <xf numFmtId="42" fontId="34" fillId="40" borderId="122" xfId="0" applyNumberFormat="1" applyFont="1" applyFill="1" applyBorder="1"/>
    <xf numFmtId="42" fontId="34" fillId="40" borderId="47" xfId="0" applyNumberFormat="1" applyFont="1" applyFill="1" applyBorder="1"/>
    <xf numFmtId="42" fontId="34" fillId="40" borderId="121" xfId="0" applyNumberFormat="1" applyFont="1" applyFill="1" applyBorder="1"/>
    <xf numFmtId="42" fontId="34" fillId="39" borderId="119" xfId="0" applyNumberFormat="1" applyFont="1" applyFill="1" applyBorder="1"/>
    <xf numFmtId="0" fontId="34" fillId="39" borderId="15" xfId="0" applyFont="1" applyFill="1" applyBorder="1"/>
    <xf numFmtId="0" fontId="34" fillId="40" borderId="33" xfId="0" applyFont="1" applyFill="1" applyBorder="1"/>
    <xf numFmtId="42" fontId="14" fillId="1" borderId="70" xfId="0" applyNumberFormat="1" applyFont="1" applyFill="1" applyBorder="1" applyAlignment="1">
      <alignment horizontal="right"/>
    </xf>
    <xf numFmtId="0" fontId="17" fillId="32" borderId="22" xfId="0" applyFont="1" applyFill="1" applyBorder="1" applyAlignment="1">
      <alignment horizontal="center" vertical="center" wrapText="1"/>
    </xf>
    <xf numFmtId="0" fontId="17" fillId="32" borderId="16" xfId="0" applyFont="1" applyFill="1" applyBorder="1" applyAlignment="1">
      <alignment horizontal="center" vertical="center" wrapText="1"/>
    </xf>
    <xf numFmtId="0" fontId="17" fillId="32" borderId="13" xfId="0" applyFont="1" applyFill="1" applyBorder="1" applyAlignment="1">
      <alignment horizontal="center" vertical="center" wrapText="1"/>
    </xf>
    <xf numFmtId="0" fontId="17" fillId="32" borderId="20" xfId="0" applyFont="1" applyFill="1" applyBorder="1" applyAlignment="1">
      <alignment horizontal="center" vertical="center" wrapText="1"/>
    </xf>
    <xf numFmtId="0" fontId="17" fillId="32" borderId="15" xfId="0" applyFont="1" applyFill="1" applyBorder="1" applyAlignment="1">
      <alignment horizontal="center" vertical="center" wrapText="1"/>
    </xf>
    <xf numFmtId="0" fontId="17" fillId="32" borderId="14" xfId="0" applyFont="1" applyFill="1" applyBorder="1" applyAlignment="1">
      <alignment horizontal="center" vertical="center" wrapText="1"/>
    </xf>
    <xf numFmtId="0" fontId="17" fillId="32" borderId="17" xfId="0" applyFont="1" applyFill="1" applyBorder="1" applyAlignment="1">
      <alignment horizontal="center" vertical="center" wrapText="1"/>
    </xf>
    <xf numFmtId="0" fontId="34" fillId="0" borderId="31" xfId="0" applyFont="1" applyBorder="1" applyAlignment="1">
      <alignment horizontal="center" vertical="top" wrapText="1"/>
    </xf>
    <xf numFmtId="0" fontId="34" fillId="0" borderId="35" xfId="0" applyFont="1" applyBorder="1" applyAlignment="1">
      <alignment horizontal="center" vertical="top" wrapText="1"/>
    </xf>
    <xf numFmtId="0" fontId="34" fillId="0" borderId="32" xfId="0" applyFont="1" applyBorder="1" applyAlignment="1">
      <alignment horizontal="center" vertical="top" wrapText="1"/>
    </xf>
    <xf numFmtId="0" fontId="11" fillId="27" borderId="18" xfId="0" applyFont="1" applyFill="1" applyBorder="1" applyAlignment="1">
      <alignment horizontal="center" vertical="center" wrapText="1"/>
    </xf>
    <xf numFmtId="0" fontId="11" fillId="27" borderId="19" xfId="0" applyFont="1" applyFill="1" applyBorder="1" applyAlignment="1">
      <alignment horizontal="center" vertical="center" wrapText="1"/>
    </xf>
    <xf numFmtId="0" fontId="11" fillId="27" borderId="30" xfId="0" applyFont="1" applyFill="1" applyBorder="1" applyAlignment="1">
      <alignment horizontal="center" vertical="center" wrapText="1"/>
    </xf>
    <xf numFmtId="0" fontId="72" fillId="0" borderId="13" xfId="0" applyFont="1" applyBorder="1" applyAlignment="1">
      <alignment horizontal="center"/>
    </xf>
    <xf numFmtId="0" fontId="11" fillId="32" borderId="22" xfId="0" applyFont="1" applyFill="1" applyBorder="1" applyAlignment="1">
      <alignment horizontal="center" vertical="center"/>
    </xf>
    <xf numFmtId="0" fontId="33" fillId="0" borderId="18" xfId="0" applyFont="1" applyBorder="1" applyAlignment="1">
      <alignment horizontal="center" vertical="center"/>
    </xf>
    <xf numFmtId="0" fontId="33" fillId="0" borderId="19" xfId="0" applyFont="1" applyBorder="1" applyAlignment="1">
      <alignment horizontal="center" vertical="center"/>
    </xf>
    <xf numFmtId="0" fontId="33" fillId="0" borderId="30" xfId="0" applyFont="1" applyBorder="1" applyAlignment="1">
      <alignment horizontal="center" vertical="center"/>
    </xf>
    <xf numFmtId="1" fontId="11" fillId="0" borderId="18" xfId="0" applyNumberFormat="1" applyFont="1" applyBorder="1" applyAlignment="1">
      <alignment horizontal="center" vertical="center"/>
    </xf>
    <xf numFmtId="1" fontId="11" fillId="0" borderId="30" xfId="0" applyNumberFormat="1" applyFont="1" applyBorder="1" applyAlignment="1">
      <alignment horizontal="center" vertical="center"/>
    </xf>
    <xf numFmtId="0" fontId="11" fillId="0" borderId="18" xfId="0" applyFont="1" applyBorder="1" applyAlignment="1">
      <alignment horizontal="center" wrapText="1"/>
    </xf>
    <xf numFmtId="0" fontId="11" fillId="0" borderId="30" xfId="0" applyFont="1" applyBorder="1" applyAlignment="1">
      <alignment horizontal="center" wrapText="1"/>
    </xf>
    <xf numFmtId="9" fontId="33" fillId="0" borderId="18" xfId="0" applyNumberFormat="1" applyFont="1" applyBorder="1" applyAlignment="1">
      <alignment horizontal="center" vertical="center"/>
    </xf>
    <xf numFmtId="9" fontId="33" fillId="0" borderId="19" xfId="0" applyNumberFormat="1" applyFont="1" applyBorder="1" applyAlignment="1">
      <alignment horizontal="center" vertical="center"/>
    </xf>
    <xf numFmtId="9" fontId="33" fillId="0" borderId="30" xfId="0" applyNumberFormat="1" applyFont="1" applyBorder="1" applyAlignment="1">
      <alignment horizontal="center" vertical="center"/>
    </xf>
    <xf numFmtId="0" fontId="34" fillId="32" borderId="18" xfId="0" applyFont="1" applyFill="1" applyBorder="1" applyAlignment="1">
      <alignment horizontal="center" vertical="center" wrapText="1"/>
    </xf>
    <xf numFmtId="0" fontId="34" fillId="32" borderId="19" xfId="0" applyFont="1" applyFill="1" applyBorder="1" applyAlignment="1">
      <alignment horizontal="center" vertical="center" wrapText="1"/>
    </xf>
    <xf numFmtId="0" fontId="34" fillId="32" borderId="30" xfId="0" applyFont="1" applyFill="1" applyBorder="1" applyAlignment="1">
      <alignment horizontal="center" vertical="center" wrapText="1"/>
    </xf>
    <xf numFmtId="0" fontId="34" fillId="32" borderId="22" xfId="0" applyFont="1" applyFill="1" applyBorder="1" applyAlignment="1">
      <alignment horizontal="center" vertical="center" wrapText="1"/>
    </xf>
    <xf numFmtId="0" fontId="34" fillId="32" borderId="22" xfId="0" applyFont="1" applyFill="1" applyBorder="1" applyAlignment="1">
      <alignment horizontal="center" vertical="center"/>
    </xf>
    <xf numFmtId="0" fontId="34" fillId="32" borderId="16" xfId="0" applyFont="1" applyFill="1" applyBorder="1" applyAlignment="1">
      <alignment horizontal="center" vertical="center" wrapText="1"/>
    </xf>
    <xf numFmtId="0" fontId="34" fillId="32" borderId="13" xfId="0" applyFont="1" applyFill="1" applyBorder="1" applyAlignment="1">
      <alignment horizontal="center" vertical="center" wrapText="1"/>
    </xf>
    <xf numFmtId="0" fontId="34" fillId="32" borderId="20" xfId="0" applyFont="1" applyFill="1" applyBorder="1" applyAlignment="1">
      <alignment horizontal="center" vertical="center" wrapText="1"/>
    </xf>
    <xf numFmtId="0" fontId="34" fillId="32" borderId="15" xfId="0" applyFont="1" applyFill="1" applyBorder="1" applyAlignment="1">
      <alignment horizontal="center" vertical="center" wrapText="1"/>
    </xf>
    <xf numFmtId="0" fontId="34" fillId="32" borderId="14" xfId="0" applyFont="1" applyFill="1" applyBorder="1" applyAlignment="1">
      <alignment horizontal="center" vertical="center" wrapText="1"/>
    </xf>
    <xf numFmtId="0" fontId="34" fillId="32" borderId="17" xfId="0" applyFont="1" applyFill="1" applyBorder="1" applyAlignment="1">
      <alignment horizontal="center" vertical="center" wrapText="1"/>
    </xf>
    <xf numFmtId="0" fontId="17" fillId="39" borderId="22" xfId="0" applyFont="1" applyFill="1" applyBorder="1" applyAlignment="1">
      <alignment horizontal="center" vertical="center"/>
    </xf>
    <xf numFmtId="0" fontId="11" fillId="0" borderId="31" xfId="0" applyFont="1" applyBorder="1" applyAlignment="1">
      <alignment horizontal="center"/>
    </xf>
    <xf numFmtId="0" fontId="11" fillId="0" borderId="32" xfId="0" applyFont="1" applyBorder="1" applyAlignment="1">
      <alignment horizontal="center"/>
    </xf>
    <xf numFmtId="0" fontId="11" fillId="32" borderId="31" xfId="0" applyFont="1" applyFill="1" applyBorder="1" applyAlignment="1">
      <alignment horizontal="center" vertical="center"/>
    </xf>
    <xf numFmtId="0" fontId="11" fillId="32" borderId="35" xfId="0" applyFont="1" applyFill="1" applyBorder="1" applyAlignment="1">
      <alignment horizontal="center" vertical="center"/>
    </xf>
    <xf numFmtId="0" fontId="11" fillId="32" borderId="32" xfId="0" applyFont="1" applyFill="1" applyBorder="1" applyAlignment="1">
      <alignment horizontal="center" vertical="center"/>
    </xf>
    <xf numFmtId="0" fontId="34" fillId="27" borderId="18" xfId="0" applyFont="1" applyFill="1" applyBorder="1" applyAlignment="1">
      <alignment horizontal="center" vertical="center" wrapText="1"/>
    </xf>
    <xf numFmtId="0" fontId="34" fillId="27" borderId="19" xfId="0" applyFont="1" applyFill="1" applyBorder="1" applyAlignment="1">
      <alignment horizontal="center" vertical="center" wrapText="1"/>
    </xf>
    <xf numFmtId="0" fontId="34" fillId="27" borderId="30" xfId="0" applyFont="1" applyFill="1" applyBorder="1" applyAlignment="1">
      <alignment horizontal="center" vertical="center" wrapText="1"/>
    </xf>
    <xf numFmtId="1" fontId="11" fillId="0" borderId="22" xfId="0" applyNumberFormat="1" applyFont="1" applyBorder="1" applyAlignment="1">
      <alignment horizontal="center" vertical="center"/>
    </xf>
    <xf numFmtId="0" fontId="73" fillId="0" borderId="13" xfId="0" applyFont="1" applyBorder="1" applyAlignment="1">
      <alignment horizontal="center"/>
    </xf>
    <xf numFmtId="0" fontId="34" fillId="0" borderId="44" xfId="0" applyFont="1" applyBorder="1" applyAlignment="1">
      <alignment horizontal="center" vertical="center" wrapText="1"/>
    </xf>
    <xf numFmtId="0" fontId="34" fillId="0" borderId="26" xfId="0" applyFont="1" applyBorder="1" applyAlignment="1">
      <alignment horizontal="center" vertical="center" wrapText="1"/>
    </xf>
    <xf numFmtId="0" fontId="34" fillId="0" borderId="45" xfId="0" applyFont="1" applyBorder="1" applyAlignment="1">
      <alignment horizontal="center" vertical="center" wrapText="1"/>
    </xf>
    <xf numFmtId="0" fontId="34" fillId="0" borderId="43" xfId="0" applyFont="1" applyBorder="1" applyAlignment="1">
      <alignment horizontal="center" vertical="center" wrapText="1"/>
    </xf>
    <xf numFmtId="0" fontId="34" fillId="0" borderId="0" xfId="0" applyFont="1" applyAlignment="1">
      <alignment horizontal="center" vertical="center" wrapText="1"/>
    </xf>
    <xf numFmtId="0" fontId="34" fillId="0" borderId="54" xfId="0" applyFont="1" applyBorder="1" applyAlignment="1">
      <alignment horizontal="center" vertical="center" wrapText="1"/>
    </xf>
    <xf numFmtId="0" fontId="34" fillId="0" borderId="46" xfId="0" applyFont="1" applyBorder="1" applyAlignment="1">
      <alignment horizontal="center" vertical="center" wrapText="1"/>
    </xf>
    <xf numFmtId="0" fontId="34" fillId="0" borderId="23" xfId="0" applyFont="1" applyBorder="1" applyAlignment="1">
      <alignment horizontal="center" vertical="center" wrapText="1"/>
    </xf>
    <xf numFmtId="0" fontId="34" fillId="0" borderId="47" xfId="0" applyFont="1" applyBorder="1" applyAlignment="1">
      <alignment horizontal="center" vertical="center" wrapText="1"/>
    </xf>
    <xf numFmtId="0" fontId="11" fillId="0" borderId="44" xfId="0" applyFont="1" applyBorder="1" applyAlignment="1">
      <alignment horizontal="center"/>
    </xf>
    <xf numFmtId="0" fontId="11" fillId="0" borderId="45" xfId="0" applyFont="1" applyBorder="1" applyAlignment="1">
      <alignment horizontal="center"/>
    </xf>
    <xf numFmtId="0" fontId="33" fillId="0" borderId="22" xfId="0" applyFont="1" applyBorder="1" applyAlignment="1">
      <alignment horizontal="center" vertical="center"/>
    </xf>
    <xf numFmtId="0" fontId="33" fillId="0" borderId="0" xfId="0" applyFont="1" applyAlignment="1">
      <alignment horizontal="center"/>
    </xf>
    <xf numFmtId="0" fontId="33" fillId="0" borderId="14" xfId="0" applyFont="1" applyBorder="1" applyAlignment="1">
      <alignment horizontal="center"/>
    </xf>
    <xf numFmtId="0" fontId="11" fillId="0" borderId="46" xfId="0" applyFont="1" applyBorder="1" applyAlignment="1">
      <alignment horizontal="center"/>
    </xf>
    <xf numFmtId="0" fontId="11" fillId="0" borderId="47" xfId="0" applyFont="1" applyBorder="1" applyAlignment="1">
      <alignment horizontal="center"/>
    </xf>
    <xf numFmtId="0" fontId="11" fillId="39" borderId="31" xfId="0" applyFont="1" applyFill="1" applyBorder="1" applyAlignment="1">
      <alignment horizontal="center" vertical="center"/>
    </xf>
    <xf numFmtId="0" fontId="11" fillId="39" borderId="35" xfId="0" applyFont="1" applyFill="1" applyBorder="1" applyAlignment="1">
      <alignment horizontal="center" vertical="center"/>
    </xf>
    <xf numFmtId="0" fontId="11" fillId="39" borderId="32" xfId="0" applyFont="1" applyFill="1" applyBorder="1" applyAlignment="1">
      <alignment horizontal="center" vertical="center"/>
    </xf>
    <xf numFmtId="0" fontId="33" fillId="39" borderId="22" xfId="0" applyFont="1" applyFill="1" applyBorder="1" applyAlignment="1">
      <alignment horizontal="center" vertical="center"/>
    </xf>
    <xf numFmtId="0" fontId="17" fillId="39" borderId="16" xfId="0" applyFont="1" applyFill="1" applyBorder="1" applyAlignment="1">
      <alignment horizontal="center" vertical="center" wrapText="1"/>
    </xf>
    <xf numFmtId="0" fontId="17" fillId="39" borderId="13" xfId="0" applyFont="1" applyFill="1" applyBorder="1" applyAlignment="1">
      <alignment horizontal="center" vertical="center" wrapText="1"/>
    </xf>
    <xf numFmtId="0" fontId="17" fillId="39" borderId="20" xfId="0" applyFont="1" applyFill="1" applyBorder="1" applyAlignment="1">
      <alignment horizontal="center" vertical="center" wrapText="1"/>
    </xf>
    <xf numFmtId="0" fontId="17" fillId="39" borderId="15" xfId="0" applyFont="1" applyFill="1" applyBorder="1" applyAlignment="1">
      <alignment horizontal="center" vertical="center" wrapText="1"/>
    </xf>
    <xf numFmtId="0" fontId="17" fillId="39" borderId="14" xfId="0" applyFont="1" applyFill="1" applyBorder="1" applyAlignment="1">
      <alignment horizontal="center" vertical="center" wrapText="1"/>
    </xf>
    <xf numFmtId="0" fontId="17" fillId="39" borderId="17" xfId="0" applyFont="1" applyFill="1" applyBorder="1" applyAlignment="1">
      <alignment horizontal="center" vertical="center" wrapText="1"/>
    </xf>
    <xf numFmtId="0" fontId="17" fillId="39" borderId="22" xfId="0" applyFont="1" applyFill="1" applyBorder="1" applyAlignment="1">
      <alignment horizontal="center" vertical="center" wrapText="1"/>
    </xf>
    <xf numFmtId="0" fontId="11" fillId="0" borderId="22" xfId="0" applyFont="1" applyBorder="1" applyAlignment="1">
      <alignment horizontal="center" vertical="center" wrapText="1" shrinkToFit="1"/>
    </xf>
    <xf numFmtId="0" fontId="11" fillId="0" borderId="22" xfId="0" applyFont="1" applyBorder="1" applyAlignment="1">
      <alignment horizontal="center" vertical="center" wrapText="1"/>
    </xf>
    <xf numFmtId="0" fontId="12" fillId="32" borderId="48" xfId="0" applyFont="1" applyFill="1" applyBorder="1" applyAlignment="1" applyProtection="1">
      <alignment horizontal="center"/>
      <protection locked="0"/>
    </xf>
    <xf numFmtId="0" fontId="12" fillId="32" borderId="49" xfId="0" applyFont="1" applyFill="1" applyBorder="1" applyAlignment="1" applyProtection="1">
      <alignment horizontal="center"/>
      <protection locked="0"/>
    </xf>
    <xf numFmtId="0" fontId="12" fillId="32" borderId="50" xfId="0" applyFont="1" applyFill="1" applyBorder="1" applyAlignment="1" applyProtection="1">
      <alignment horizontal="center"/>
      <protection locked="0"/>
    </xf>
    <xf numFmtId="166" fontId="17" fillId="32" borderId="18" xfId="0" applyNumberFormat="1" applyFont="1" applyFill="1" applyBorder="1" applyAlignment="1">
      <alignment horizontal="left" vertical="center" indent="3"/>
    </xf>
    <xf numFmtId="166" fontId="17" fillId="32" borderId="30" xfId="0" applyNumberFormat="1" applyFont="1" applyFill="1" applyBorder="1" applyAlignment="1">
      <alignment horizontal="left" vertical="center" indent="3"/>
    </xf>
    <xf numFmtId="0" fontId="12" fillId="0" borderId="48" xfId="0" applyFont="1" applyBorder="1" applyAlignment="1" applyProtection="1">
      <alignment horizontal="left"/>
      <protection locked="0"/>
    </xf>
    <xf numFmtId="0" fontId="12" fillId="0" borderId="49" xfId="0" applyFont="1" applyBorder="1" applyAlignment="1" applyProtection="1">
      <alignment horizontal="left"/>
      <protection locked="0"/>
    </xf>
    <xf numFmtId="0" fontId="12" fillId="0" borderId="50" xfId="0" applyFont="1" applyBorder="1" applyAlignment="1" applyProtection="1">
      <alignment horizontal="left"/>
      <protection locked="0"/>
    </xf>
    <xf numFmtId="166" fontId="17" fillId="0" borderId="22" xfId="0" applyNumberFormat="1" applyFont="1" applyBorder="1" applyAlignment="1">
      <alignment horizontal="left" vertical="center"/>
    </xf>
    <xf numFmtId="166" fontId="17" fillId="0" borderId="18" xfId="0" applyNumberFormat="1" applyFont="1" applyBorder="1" applyAlignment="1" applyProtection="1">
      <alignment horizontal="left" vertical="center" indent="3"/>
      <protection locked="0"/>
    </xf>
    <xf numFmtId="166" fontId="17" fillId="0" borderId="30" xfId="0" applyNumberFormat="1" applyFont="1" applyBorder="1" applyAlignment="1" applyProtection="1">
      <alignment horizontal="left" vertical="center" indent="3"/>
      <protection locked="0"/>
    </xf>
    <xf numFmtId="0" fontId="14" fillId="32" borderId="19" xfId="0" applyFont="1" applyFill="1" applyBorder="1" applyAlignment="1">
      <alignment horizontal="center"/>
    </xf>
    <xf numFmtId="0" fontId="14" fillId="32" borderId="66" xfId="0" applyFont="1" applyFill="1" applyBorder="1" applyAlignment="1">
      <alignment horizontal="center"/>
    </xf>
    <xf numFmtId="0" fontId="14" fillId="32" borderId="19" xfId="0" applyFont="1" applyFill="1" applyBorder="1" applyAlignment="1">
      <alignment horizontal="left"/>
    </xf>
    <xf numFmtId="0" fontId="12" fillId="0" borderId="19" xfId="0" applyFont="1" applyBorder="1" applyAlignment="1">
      <alignment horizontal="left"/>
    </xf>
    <xf numFmtId="166" fontId="17" fillId="32" borderId="18" xfId="0" applyNumberFormat="1" applyFont="1" applyFill="1" applyBorder="1" applyAlignment="1" applyProtection="1">
      <alignment horizontal="left" vertical="center" indent="3"/>
      <protection locked="0"/>
    </xf>
    <xf numFmtId="166" fontId="17" fillId="32" borderId="19" xfId="0" applyNumberFormat="1" applyFont="1" applyFill="1" applyBorder="1" applyAlignment="1" applyProtection="1">
      <alignment horizontal="left" vertical="center" indent="3"/>
      <protection locked="0"/>
    </xf>
    <xf numFmtId="166" fontId="17" fillId="0" borderId="18" xfId="0" applyNumberFormat="1" applyFont="1" applyBorder="1" applyAlignment="1">
      <alignment horizontal="left" vertical="center"/>
    </xf>
    <xf numFmtId="166" fontId="17" fillId="0" borderId="30" xfId="0" applyNumberFormat="1" applyFont="1" applyBorder="1" applyAlignment="1">
      <alignment horizontal="left" vertical="center"/>
    </xf>
    <xf numFmtId="0" fontId="12" fillId="32" borderId="0" xfId="0" applyFont="1" applyFill="1" applyAlignment="1">
      <alignment horizontal="right"/>
    </xf>
    <xf numFmtId="0" fontId="14" fillId="32" borderId="12" xfId="0" applyFont="1" applyFill="1" applyBorder="1" applyAlignment="1">
      <alignment horizontal="left"/>
    </xf>
    <xf numFmtId="0" fontId="14" fillId="32" borderId="0" xfId="0" applyFont="1" applyFill="1" applyAlignment="1">
      <alignment horizontal="left"/>
    </xf>
    <xf numFmtId="0" fontId="14" fillId="32" borderId="20" xfId="0" applyFont="1" applyFill="1" applyBorder="1" applyAlignment="1">
      <alignment horizontal="center" vertical="center" wrapText="1"/>
    </xf>
    <xf numFmtId="0" fontId="14" fillId="32" borderId="11" xfId="0" applyFont="1" applyFill="1" applyBorder="1" applyAlignment="1">
      <alignment horizontal="center" vertical="center" wrapText="1"/>
    </xf>
    <xf numFmtId="0" fontId="14" fillId="32" borderId="17" xfId="0" applyFont="1" applyFill="1" applyBorder="1" applyAlignment="1">
      <alignment horizontal="center" vertical="center" wrapText="1"/>
    </xf>
    <xf numFmtId="0" fontId="14" fillId="32" borderId="16" xfId="0" applyFont="1" applyFill="1" applyBorder="1" applyAlignment="1">
      <alignment horizontal="center"/>
    </xf>
    <xf numFmtId="0" fontId="14" fillId="32" borderId="13" xfId="0" applyFont="1" applyFill="1" applyBorder="1" applyAlignment="1">
      <alignment horizontal="center"/>
    </xf>
    <xf numFmtId="0" fontId="14" fillId="32" borderId="20" xfId="0" applyFont="1" applyFill="1" applyBorder="1" applyAlignment="1">
      <alignment horizontal="center"/>
    </xf>
    <xf numFmtId="168" fontId="14" fillId="0" borderId="0" xfId="0" quotePrefix="1" applyNumberFormat="1" applyFont="1" applyAlignment="1">
      <alignment horizontal="left" vertical="top" wrapText="1"/>
    </xf>
    <xf numFmtId="168" fontId="14" fillId="0" borderId="0" xfId="0" applyNumberFormat="1" applyFont="1" applyAlignment="1">
      <alignment horizontal="left" vertical="top" wrapText="1"/>
    </xf>
    <xf numFmtId="168" fontId="14" fillId="0" borderId="12" xfId="0" applyNumberFormat="1" applyFont="1" applyBorder="1" applyAlignment="1">
      <alignment horizontal="left" vertical="top" wrapText="1"/>
    </xf>
    <xf numFmtId="168" fontId="14" fillId="0" borderId="15" xfId="0" applyNumberFormat="1" applyFont="1" applyBorder="1" applyAlignment="1">
      <alignment horizontal="left" vertical="top" wrapText="1"/>
    </xf>
    <xf numFmtId="168" fontId="14" fillId="0" borderId="14" xfId="0" applyNumberFormat="1" applyFont="1" applyBorder="1" applyAlignment="1">
      <alignment horizontal="left" vertical="top" wrapText="1"/>
    </xf>
    <xf numFmtId="0" fontId="12" fillId="32" borderId="16" xfId="0" applyFont="1" applyFill="1" applyBorder="1" applyAlignment="1">
      <alignment horizontal="center" wrapText="1"/>
    </xf>
    <xf numFmtId="0" fontId="12" fillId="32" borderId="20" xfId="0" applyFont="1" applyFill="1" applyBorder="1" applyAlignment="1">
      <alignment horizontal="center" wrapText="1"/>
    </xf>
    <xf numFmtId="0" fontId="12" fillId="32" borderId="15" xfId="0" applyFont="1" applyFill="1" applyBorder="1" applyAlignment="1">
      <alignment horizontal="center" wrapText="1"/>
    </xf>
    <xf numFmtId="0" fontId="12" fillId="32" borderId="17" xfId="0" applyFont="1" applyFill="1" applyBorder="1" applyAlignment="1">
      <alignment horizontal="center" wrapText="1"/>
    </xf>
    <xf numFmtId="0" fontId="14" fillId="0" borderId="14" xfId="0" applyFont="1" applyBorder="1" applyAlignment="1" applyProtection="1">
      <alignment horizontal="center"/>
      <protection locked="0"/>
    </xf>
    <xf numFmtId="10" fontId="12" fillId="34" borderId="18" xfId="0" applyNumberFormat="1" applyFont="1" applyFill="1" applyBorder="1" applyAlignment="1">
      <alignment horizontal="center" wrapText="1"/>
    </xf>
    <xf numFmtId="10" fontId="12" fillId="34" borderId="30" xfId="0" applyNumberFormat="1" applyFont="1" applyFill="1" applyBorder="1" applyAlignment="1">
      <alignment horizontal="center" wrapText="1"/>
    </xf>
    <xf numFmtId="0" fontId="12" fillId="0" borderId="15" xfId="0" applyFont="1" applyBorder="1" applyAlignment="1">
      <alignment horizontal="center" vertical="center" wrapText="1"/>
    </xf>
    <xf numFmtId="0" fontId="12" fillId="0" borderId="17" xfId="0" applyFont="1" applyBorder="1" applyAlignment="1">
      <alignment horizontal="center" vertical="center" wrapText="1"/>
    </xf>
    <xf numFmtId="0" fontId="14" fillId="32" borderId="15" xfId="0" applyFont="1" applyFill="1" applyBorder="1" applyAlignment="1">
      <alignment horizontal="left"/>
    </xf>
    <xf numFmtId="0" fontId="14" fillId="32" borderId="14" xfId="0" applyFont="1" applyFill="1" applyBorder="1" applyAlignment="1">
      <alignment horizontal="left"/>
    </xf>
    <xf numFmtId="0" fontId="14" fillId="32" borderId="15" xfId="0" applyFont="1" applyFill="1" applyBorder="1" applyAlignment="1" applyProtection="1">
      <alignment horizontal="left"/>
      <protection locked="0"/>
    </xf>
    <xf numFmtId="0" fontId="14" fillId="32" borderId="14" xfId="0" applyFont="1" applyFill="1" applyBorder="1" applyAlignment="1" applyProtection="1">
      <alignment horizontal="left"/>
      <protection locked="0"/>
    </xf>
    <xf numFmtId="175" fontId="11" fillId="32" borderId="12" xfId="0" applyNumberFormat="1" applyFont="1" applyFill="1" applyBorder="1" applyAlignment="1">
      <alignment horizontal="center" vertical="center"/>
    </xf>
    <xf numFmtId="175" fontId="11" fillId="32" borderId="0" xfId="0" applyNumberFormat="1" applyFont="1" applyFill="1" applyAlignment="1">
      <alignment horizontal="center" vertical="center"/>
    </xf>
    <xf numFmtId="175" fontId="11" fillId="32" borderId="11" xfId="0" applyNumberFormat="1" applyFont="1" applyFill="1" applyBorder="1" applyAlignment="1">
      <alignment horizontal="center" vertical="center"/>
    </xf>
    <xf numFmtId="0" fontId="11" fillId="0" borderId="16" xfId="0" applyFont="1" applyBorder="1" applyAlignment="1" applyProtection="1">
      <alignment horizontal="center" vertical="center" wrapText="1"/>
      <protection locked="0"/>
    </xf>
    <xf numFmtId="0" fontId="11" fillId="0" borderId="13" xfId="0" applyFont="1" applyBorder="1" applyAlignment="1" applyProtection="1">
      <alignment horizontal="center" vertical="center" wrapText="1"/>
      <protection locked="0"/>
    </xf>
    <xf numFmtId="0" fontId="11" fillId="0" borderId="20" xfId="0" applyFont="1" applyBorder="1" applyAlignment="1" applyProtection="1">
      <alignment horizontal="center" vertical="center" wrapText="1"/>
      <protection locked="0"/>
    </xf>
    <xf numFmtId="0" fontId="11" fillId="0" borderId="12" xfId="0" applyFont="1" applyBorder="1" applyAlignment="1" applyProtection="1">
      <alignment horizontal="center" vertical="center" wrapText="1"/>
      <protection locked="0"/>
    </xf>
    <xf numFmtId="0" fontId="11" fillId="0" borderId="0" xfId="0" applyFont="1" applyAlignment="1" applyProtection="1">
      <alignment horizontal="center" vertical="center" wrapText="1"/>
      <protection locked="0"/>
    </xf>
    <xf numFmtId="0" fontId="11" fillId="0" borderId="11" xfId="0" applyFont="1" applyBorder="1" applyAlignment="1" applyProtection="1">
      <alignment horizontal="center" vertical="center" wrapText="1"/>
      <protection locked="0"/>
    </xf>
    <xf numFmtId="0" fontId="16" fillId="29" borderId="16" xfId="0" applyFont="1" applyFill="1" applyBorder="1" applyAlignment="1">
      <alignment horizontal="center" vertical="center" wrapText="1"/>
    </xf>
    <xf numFmtId="0" fontId="16" fillId="29" borderId="20" xfId="0" applyFont="1" applyFill="1" applyBorder="1" applyAlignment="1">
      <alignment horizontal="center" vertical="center" wrapText="1"/>
    </xf>
    <xf numFmtId="168" fontId="16" fillId="29" borderId="15" xfId="0" applyNumberFormat="1" applyFont="1" applyFill="1" applyBorder="1" applyAlignment="1">
      <alignment horizontal="center" vertical="center" wrapText="1"/>
    </xf>
    <xf numFmtId="168" fontId="16" fillId="29" borderId="17" xfId="0" applyNumberFormat="1" applyFont="1" applyFill="1" applyBorder="1" applyAlignment="1">
      <alignment horizontal="center" vertical="center" wrapText="1"/>
    </xf>
    <xf numFmtId="1" fontId="12" fillId="0" borderId="18" xfId="0" applyNumberFormat="1" applyFont="1" applyBorder="1" applyAlignment="1">
      <alignment horizontal="center" vertical="center"/>
    </xf>
    <xf numFmtId="1" fontId="12" fillId="0" borderId="30" xfId="0" applyNumberFormat="1" applyFont="1" applyBorder="1" applyAlignment="1">
      <alignment horizontal="center" vertical="center"/>
    </xf>
    <xf numFmtId="168" fontId="16" fillId="29" borderId="12" xfId="0" applyNumberFormat="1" applyFont="1" applyFill="1" applyBorder="1" applyAlignment="1">
      <alignment horizontal="center" vertical="center" wrapText="1"/>
    </xf>
    <xf numFmtId="168" fontId="16" fillId="29" borderId="11" xfId="0" applyNumberFormat="1" applyFont="1" applyFill="1" applyBorder="1" applyAlignment="1">
      <alignment horizontal="center" vertical="center" wrapText="1"/>
    </xf>
    <xf numFmtId="169" fontId="12" fillId="0" borderId="16" xfId="0" applyNumberFormat="1" applyFont="1" applyBorder="1" applyAlignment="1" applyProtection="1">
      <alignment horizontal="center" vertical="center"/>
      <protection locked="0"/>
    </xf>
    <xf numFmtId="169" fontId="0" fillId="0" borderId="20" xfId="0" applyNumberFormat="1" applyBorder="1" applyAlignment="1" applyProtection="1">
      <alignment horizontal="center" vertical="center"/>
      <protection locked="0"/>
    </xf>
    <xf numFmtId="169" fontId="12" fillId="0" borderId="15" xfId="0" applyNumberFormat="1" applyFont="1" applyBorder="1" applyAlignment="1" applyProtection="1">
      <alignment horizontal="center" vertical="center"/>
      <protection locked="0"/>
    </xf>
    <xf numFmtId="169" fontId="0" fillId="0" borderId="17" xfId="0" applyNumberFormat="1" applyBorder="1" applyAlignment="1" applyProtection="1">
      <alignment horizontal="center" vertical="center"/>
      <protection locked="0"/>
    </xf>
    <xf numFmtId="169" fontId="12" fillId="32" borderId="16" xfId="0" applyNumberFormat="1" applyFont="1" applyFill="1" applyBorder="1" applyAlignment="1">
      <alignment horizontal="center" vertical="center"/>
    </xf>
    <xf numFmtId="0" fontId="0" fillId="32" borderId="20" xfId="0" applyFill="1" applyBorder="1" applyAlignment="1">
      <alignment vertical="center"/>
    </xf>
    <xf numFmtId="0" fontId="0" fillId="32" borderId="15" xfId="0" applyFill="1" applyBorder="1" applyAlignment="1">
      <alignment vertical="center"/>
    </xf>
    <xf numFmtId="0" fontId="0" fillId="32" borderId="17" xfId="0" applyFill="1" applyBorder="1" applyAlignment="1">
      <alignment vertical="center"/>
    </xf>
    <xf numFmtId="0" fontId="12" fillId="32" borderId="13" xfId="0" applyFont="1" applyFill="1" applyBorder="1" applyAlignment="1">
      <alignment horizontal="right" vertical="center"/>
    </xf>
    <xf numFmtId="0" fontId="12" fillId="32" borderId="20" xfId="0" applyFont="1" applyFill="1" applyBorder="1" applyAlignment="1">
      <alignment horizontal="right" vertical="center"/>
    </xf>
    <xf numFmtId="0" fontId="12" fillId="32" borderId="14" xfId="0" applyFont="1" applyFill="1" applyBorder="1" applyAlignment="1">
      <alignment horizontal="right" vertical="center"/>
    </xf>
    <xf numFmtId="0" fontId="12" fillId="32" borderId="17" xfId="0" applyFont="1" applyFill="1" applyBorder="1" applyAlignment="1">
      <alignment horizontal="right" vertical="center"/>
    </xf>
    <xf numFmtId="165" fontId="14" fillId="32" borderId="18" xfId="0" applyNumberFormat="1" applyFont="1" applyFill="1" applyBorder="1" applyAlignment="1">
      <alignment horizontal="right"/>
    </xf>
    <xf numFmtId="165" fontId="14" fillId="32" borderId="19" xfId="0" applyNumberFormat="1" applyFont="1" applyFill="1" applyBorder="1" applyAlignment="1">
      <alignment horizontal="right"/>
    </xf>
    <xf numFmtId="165" fontId="14" fillId="32" borderId="30" xfId="0" applyNumberFormat="1" applyFont="1" applyFill="1" applyBorder="1" applyAlignment="1">
      <alignment horizontal="right"/>
    </xf>
    <xf numFmtId="0" fontId="12" fillId="32" borderId="13" xfId="0" applyFont="1" applyFill="1" applyBorder="1" applyAlignment="1">
      <alignment horizontal="center" wrapText="1"/>
    </xf>
    <xf numFmtId="0" fontId="12" fillId="32" borderId="14" xfId="0" applyFont="1" applyFill="1" applyBorder="1" applyAlignment="1">
      <alignment horizontal="center" wrapText="1"/>
    </xf>
    <xf numFmtId="0" fontId="12" fillId="39" borderId="16" xfId="0" applyFont="1" applyFill="1" applyBorder="1" applyAlignment="1">
      <alignment horizontal="center" vertical="center"/>
    </xf>
    <xf numFmtId="0" fontId="6" fillId="39" borderId="13" xfId="0" applyFont="1" applyFill="1" applyBorder="1" applyAlignment="1">
      <alignment horizontal="center" vertical="center"/>
    </xf>
    <xf numFmtId="0" fontId="6" fillId="39" borderId="15" xfId="0" applyFont="1" applyFill="1" applyBorder="1" applyAlignment="1">
      <alignment horizontal="center" vertical="center"/>
    </xf>
    <xf numFmtId="0" fontId="6" fillId="39" borderId="14" xfId="0" applyFont="1" applyFill="1" applyBorder="1" applyAlignment="1">
      <alignment horizontal="center" vertical="center"/>
    </xf>
    <xf numFmtId="0" fontId="12" fillId="0" borderId="14" xfId="0" applyFont="1" applyBorder="1" applyAlignment="1">
      <alignment horizontal="left"/>
    </xf>
    <xf numFmtId="166" fontId="17" fillId="32" borderId="31" xfId="0" applyNumberFormat="1" applyFont="1" applyFill="1" applyBorder="1" applyAlignment="1">
      <alignment horizontal="left" vertical="center" indent="3"/>
    </xf>
    <xf numFmtId="166" fontId="17" fillId="32" borderId="32" xfId="0" applyNumberFormat="1" applyFont="1" applyFill="1" applyBorder="1" applyAlignment="1">
      <alignment horizontal="left" vertical="center" indent="3"/>
    </xf>
    <xf numFmtId="166" fontId="17" fillId="0" borderId="28" xfId="0" applyNumberFormat="1" applyFont="1" applyBorder="1" applyAlignment="1" applyProtection="1">
      <alignment horizontal="left" vertical="center" indent="3"/>
      <protection locked="0"/>
    </xf>
    <xf numFmtId="166" fontId="17" fillId="0" borderId="29" xfId="0" applyNumberFormat="1" applyFont="1" applyBorder="1" applyAlignment="1" applyProtection="1">
      <alignment horizontal="left" vertical="center" indent="3"/>
      <protection locked="0"/>
    </xf>
    <xf numFmtId="10" fontId="14" fillId="32" borderId="0" xfId="0" applyNumberFormat="1" applyFont="1" applyFill="1" applyAlignment="1">
      <alignment horizontal="center"/>
    </xf>
    <xf numFmtId="10" fontId="14" fillId="32" borderId="11" xfId="0" applyNumberFormat="1" applyFont="1" applyFill="1" applyBorder="1" applyAlignment="1">
      <alignment horizontal="center"/>
    </xf>
    <xf numFmtId="0" fontId="14" fillId="32" borderId="30" xfId="0" applyFont="1" applyFill="1" applyBorder="1" applyAlignment="1">
      <alignment horizontal="left"/>
    </xf>
    <xf numFmtId="0" fontId="14" fillId="32" borderId="22" xfId="0" applyFont="1" applyFill="1" applyBorder="1" applyAlignment="1">
      <alignment horizontal="left"/>
    </xf>
    <xf numFmtId="0" fontId="29" fillId="32" borderId="19" xfId="0" applyFont="1" applyFill="1" applyBorder="1" applyAlignment="1">
      <alignment horizontal="left"/>
    </xf>
    <xf numFmtId="0" fontId="29" fillId="32" borderId="66" xfId="0" applyFont="1" applyFill="1" applyBorder="1" applyAlignment="1">
      <alignment horizontal="left"/>
    </xf>
    <xf numFmtId="166" fontId="17" fillId="32" borderId="31" xfId="0" applyNumberFormat="1" applyFont="1" applyFill="1" applyBorder="1" applyAlignment="1" applyProtection="1">
      <alignment horizontal="left" vertical="center" indent="3"/>
      <protection locked="0"/>
    </xf>
    <xf numFmtId="166" fontId="17" fillId="32" borderId="32" xfId="0" applyNumberFormat="1" applyFont="1" applyFill="1" applyBorder="1" applyAlignment="1" applyProtection="1">
      <alignment horizontal="left" vertical="center" indent="3"/>
      <protection locked="0"/>
    </xf>
    <xf numFmtId="166" fontId="17" fillId="0" borderId="33" xfId="0" applyNumberFormat="1" applyFont="1" applyBorder="1" applyAlignment="1" applyProtection="1">
      <alignment horizontal="left" vertical="center" indent="3"/>
      <protection locked="0"/>
    </xf>
    <xf numFmtId="166" fontId="17" fillId="0" borderId="34" xfId="0" applyNumberFormat="1" applyFont="1" applyBorder="1" applyAlignment="1" applyProtection="1">
      <alignment horizontal="left" vertical="center" indent="3"/>
      <protection locked="0"/>
    </xf>
    <xf numFmtId="166" fontId="17" fillId="32" borderId="30" xfId="0" applyNumberFormat="1" applyFont="1" applyFill="1" applyBorder="1" applyAlignment="1" applyProtection="1">
      <alignment horizontal="left" vertical="center" indent="3"/>
      <protection locked="0"/>
    </xf>
    <xf numFmtId="166" fontId="17" fillId="39" borderId="31" xfId="0" applyNumberFormat="1" applyFont="1" applyFill="1" applyBorder="1" applyAlignment="1">
      <alignment horizontal="left" vertical="center" indent="3"/>
    </xf>
    <xf numFmtId="166" fontId="17" fillId="39" borderId="35" xfId="0" applyNumberFormat="1" applyFont="1" applyFill="1" applyBorder="1" applyAlignment="1">
      <alignment horizontal="left" vertical="center" indent="3"/>
    </xf>
    <xf numFmtId="166" fontId="17" fillId="0" borderId="19" xfId="0" applyNumberFormat="1" applyFont="1" applyBorder="1" applyAlignment="1" applyProtection="1">
      <alignment horizontal="left" vertical="center" indent="3"/>
      <protection locked="0"/>
    </xf>
    <xf numFmtId="166" fontId="17" fillId="39" borderId="46" xfId="0" applyNumberFormat="1" applyFont="1" applyFill="1" applyBorder="1" applyAlignment="1">
      <alignment horizontal="left" vertical="center" indent="3"/>
    </xf>
    <xf numFmtId="166" fontId="17" fillId="39" borderId="47" xfId="0" applyNumberFormat="1" applyFont="1" applyFill="1" applyBorder="1" applyAlignment="1">
      <alignment horizontal="left" vertical="center" indent="3"/>
    </xf>
    <xf numFmtId="166" fontId="17" fillId="39" borderId="32" xfId="0" applyNumberFormat="1" applyFont="1" applyFill="1" applyBorder="1" applyAlignment="1">
      <alignment horizontal="left" vertical="center" indent="3"/>
    </xf>
    <xf numFmtId="10" fontId="85" fillId="34" borderId="43" xfId="0" applyNumberFormat="1" applyFont="1" applyFill="1" applyBorder="1" applyAlignment="1">
      <alignment horizontal="left" vertical="center" indent="3"/>
    </xf>
    <xf numFmtId="10" fontId="85" fillId="34" borderId="0" xfId="0" applyNumberFormat="1" applyFont="1" applyFill="1" applyAlignment="1">
      <alignment horizontal="left" vertical="center" indent="3"/>
    </xf>
    <xf numFmtId="10" fontId="17" fillId="32" borderId="31" xfId="0" applyNumberFormat="1" applyFont="1" applyFill="1" applyBorder="1" applyAlignment="1">
      <alignment horizontal="left" vertical="center" indent="3"/>
    </xf>
    <xf numFmtId="10" fontId="17" fillId="32" borderId="32" xfId="0" applyNumberFormat="1" applyFont="1" applyFill="1" applyBorder="1" applyAlignment="1">
      <alignment horizontal="left" vertical="center" indent="3"/>
    </xf>
    <xf numFmtId="10" fontId="17" fillId="0" borderId="0" xfId="0" applyNumberFormat="1" applyFont="1" applyAlignment="1">
      <alignment horizontal="left" vertical="center" indent="3"/>
    </xf>
    <xf numFmtId="175" fontId="83" fillId="39" borderId="31" xfId="0" applyNumberFormat="1" applyFont="1" applyFill="1" applyBorder="1" applyAlignment="1">
      <alignment horizontal="center"/>
    </xf>
    <xf numFmtId="0" fontId="83" fillId="39" borderId="32" xfId="0" applyFont="1" applyFill="1" applyBorder="1" applyAlignment="1">
      <alignment horizontal="center"/>
    </xf>
    <xf numFmtId="175" fontId="84" fillId="34" borderId="43" xfId="0" applyNumberFormat="1" applyFont="1" applyFill="1" applyBorder="1" applyAlignment="1">
      <alignment horizontal="center"/>
    </xf>
    <xf numFmtId="0" fontId="84" fillId="34" borderId="0" xfId="0" applyFont="1" applyFill="1" applyAlignment="1">
      <alignment horizontal="center"/>
    </xf>
    <xf numFmtId="166" fontId="85" fillId="34" borderId="43" xfId="0" applyNumberFormat="1" applyFont="1" applyFill="1" applyBorder="1" applyAlignment="1">
      <alignment horizontal="left" vertical="center" indent="3"/>
    </xf>
    <xf numFmtId="166" fontId="85" fillId="34" borderId="0" xfId="0" applyNumberFormat="1" applyFont="1" applyFill="1" applyAlignment="1">
      <alignment horizontal="left" vertical="center" indent="3"/>
    </xf>
    <xf numFmtId="164" fontId="14" fillId="0" borderId="0" xfId="0" applyNumberFormat="1" applyFont="1" applyAlignment="1">
      <alignment horizontal="right"/>
    </xf>
    <xf numFmtId="5" fontId="14" fillId="0" borderId="0" xfId="0" applyNumberFormat="1" applyFont="1" applyAlignment="1" applyProtection="1">
      <alignment horizontal="right"/>
      <protection locked="0"/>
    </xf>
    <xf numFmtId="0" fontId="14" fillId="0" borderId="0" xfId="0" applyFont="1" applyAlignment="1">
      <alignment horizontal="right"/>
    </xf>
    <xf numFmtId="166" fontId="17" fillId="0" borderId="31" xfId="0" applyNumberFormat="1" applyFont="1" applyBorder="1" applyAlignment="1">
      <alignment horizontal="left" vertical="center" indent="3"/>
    </xf>
    <xf numFmtId="166" fontId="17" fillId="0" borderId="32" xfId="0" applyNumberFormat="1" applyFont="1" applyBorder="1" applyAlignment="1">
      <alignment horizontal="left" vertical="center" indent="3"/>
    </xf>
    <xf numFmtId="0" fontId="14" fillId="32" borderId="15" xfId="0" applyFont="1" applyFill="1" applyBorder="1" applyAlignment="1">
      <alignment horizontal="center"/>
    </xf>
    <xf numFmtId="0" fontId="14" fillId="32" borderId="14" xfId="0" applyFont="1" applyFill="1" applyBorder="1" applyAlignment="1">
      <alignment horizontal="center"/>
    </xf>
    <xf numFmtId="0" fontId="14" fillId="32" borderId="17" xfId="0" applyFont="1" applyFill="1" applyBorder="1" applyAlignment="1">
      <alignment horizontal="center"/>
    </xf>
    <xf numFmtId="9" fontId="12" fillId="32" borderId="12" xfId="0" applyNumberFormat="1" applyFont="1" applyFill="1" applyBorder="1" applyAlignment="1">
      <alignment horizontal="right"/>
    </xf>
    <xf numFmtId="9" fontId="12" fillId="32" borderId="0" xfId="0" applyNumberFormat="1" applyFont="1" applyFill="1" applyAlignment="1">
      <alignment horizontal="right"/>
    </xf>
    <xf numFmtId="9" fontId="12" fillId="32" borderId="15" xfId="0" applyNumberFormat="1" applyFont="1" applyFill="1" applyBorder="1" applyAlignment="1">
      <alignment horizontal="right"/>
    </xf>
    <xf numFmtId="9" fontId="12" fillId="32" borderId="14" xfId="0" applyNumberFormat="1" applyFont="1" applyFill="1" applyBorder="1" applyAlignment="1">
      <alignment horizontal="right"/>
    </xf>
    <xf numFmtId="0" fontId="14" fillId="32" borderId="14" xfId="0" applyFont="1" applyFill="1" applyBorder="1" applyAlignment="1">
      <alignment horizontal="right"/>
    </xf>
    <xf numFmtId="167" fontId="17" fillId="0" borderId="0" xfId="0" applyNumberFormat="1" applyFont="1" applyAlignment="1">
      <alignment horizontal="center"/>
    </xf>
    <xf numFmtId="166" fontId="17" fillId="39" borderId="31" xfId="0" applyNumberFormat="1" applyFont="1" applyFill="1" applyBorder="1" applyAlignment="1" applyProtection="1">
      <alignment horizontal="left" vertical="center" indent="3"/>
      <protection locked="0"/>
    </xf>
    <xf numFmtId="166" fontId="17" fillId="39" borderId="32" xfId="0" applyNumberFormat="1" applyFont="1" applyFill="1" applyBorder="1" applyAlignment="1" applyProtection="1">
      <alignment horizontal="left" vertical="center" indent="3"/>
      <protection locked="0"/>
    </xf>
    <xf numFmtId="166" fontId="16" fillId="29" borderId="18" xfId="0" applyNumberFormat="1" applyFont="1" applyFill="1" applyBorder="1" applyAlignment="1">
      <alignment horizontal="center"/>
    </xf>
    <xf numFmtId="166" fontId="16" fillId="29" borderId="30" xfId="0" applyNumberFormat="1" applyFont="1" applyFill="1" applyBorder="1" applyAlignment="1">
      <alignment horizontal="center"/>
    </xf>
    <xf numFmtId="166" fontId="16" fillId="29" borderId="22" xfId="0" applyNumberFormat="1" applyFont="1" applyFill="1" applyBorder="1" applyAlignment="1">
      <alignment horizontal="center"/>
    </xf>
    <xf numFmtId="166" fontId="17" fillId="32" borderId="31" xfId="0" applyNumberFormat="1" applyFont="1" applyFill="1" applyBorder="1" applyAlignment="1">
      <alignment horizontal="left" vertical="center"/>
    </xf>
    <xf numFmtId="166" fontId="17" fillId="32" borderId="32" xfId="0" applyNumberFormat="1" applyFont="1" applyFill="1" applyBorder="1" applyAlignment="1">
      <alignment horizontal="left" vertical="center"/>
    </xf>
    <xf numFmtId="0" fontId="89" fillId="41" borderId="16" xfId="0" applyFont="1" applyFill="1" applyBorder="1" applyAlignment="1">
      <alignment horizontal="center" vertical="center" wrapText="1"/>
    </xf>
    <xf numFmtId="0" fontId="89" fillId="41" borderId="13" xfId="0" applyFont="1" applyFill="1" applyBorder="1" applyAlignment="1">
      <alignment horizontal="center" vertical="center" wrapText="1"/>
    </xf>
    <xf numFmtId="0" fontId="89" fillId="41" borderId="12" xfId="0" applyFont="1" applyFill="1" applyBorder="1" applyAlignment="1">
      <alignment horizontal="center" vertical="center" wrapText="1"/>
    </xf>
    <xf numFmtId="0" fontId="89" fillId="41" borderId="0" xfId="0" applyFont="1" applyFill="1" applyAlignment="1">
      <alignment horizontal="center" vertical="center" wrapText="1"/>
    </xf>
    <xf numFmtId="168" fontId="90" fillId="41" borderId="12" xfId="0" quotePrefix="1" applyNumberFormat="1" applyFont="1" applyFill="1" applyBorder="1" applyAlignment="1">
      <alignment horizontal="left" vertical="center" wrapText="1"/>
    </xf>
    <xf numFmtId="168" fontId="90" fillId="41" borderId="0" xfId="0" applyNumberFormat="1" applyFont="1" applyFill="1" applyAlignment="1">
      <alignment horizontal="left" vertical="center" wrapText="1"/>
    </xf>
    <xf numFmtId="168" fontId="87" fillId="41" borderId="0" xfId="0" applyNumberFormat="1" applyFont="1" applyFill="1" applyAlignment="1">
      <alignment horizontal="left" vertical="center" wrapText="1"/>
    </xf>
    <xf numFmtId="168" fontId="90" fillId="41" borderId="12" xfId="0" applyNumberFormat="1" applyFont="1" applyFill="1" applyBorder="1" applyAlignment="1">
      <alignment horizontal="left" vertical="center" wrapText="1"/>
    </xf>
    <xf numFmtId="168" fontId="90" fillId="41" borderId="15" xfId="0" applyNumberFormat="1" applyFont="1" applyFill="1" applyBorder="1" applyAlignment="1">
      <alignment horizontal="left" vertical="center" wrapText="1"/>
    </xf>
    <xf numFmtId="168" fontId="90" fillId="41" borderId="14" xfId="0" applyNumberFormat="1" applyFont="1" applyFill="1" applyBorder="1" applyAlignment="1">
      <alignment horizontal="left" vertical="center" wrapText="1"/>
    </xf>
    <xf numFmtId="168" fontId="87" fillId="41" borderId="14" xfId="0" applyNumberFormat="1" applyFont="1" applyFill="1" applyBorder="1" applyAlignment="1">
      <alignment horizontal="left" vertical="center" wrapText="1"/>
    </xf>
    <xf numFmtId="10" fontId="17" fillId="32" borderId="13" xfId="0" applyNumberFormat="1" applyFont="1" applyFill="1" applyBorder="1" applyAlignment="1">
      <alignment horizontal="left"/>
    </xf>
    <xf numFmtId="166" fontId="17" fillId="39" borderId="18" xfId="0" applyNumberFormat="1" applyFont="1" applyFill="1" applyBorder="1" applyAlignment="1">
      <alignment horizontal="left" vertical="center" indent="3"/>
    </xf>
    <xf numFmtId="166" fontId="17" fillId="39" borderId="19" xfId="0" applyNumberFormat="1" applyFont="1" applyFill="1" applyBorder="1" applyAlignment="1">
      <alignment horizontal="left" vertical="center" indent="3"/>
    </xf>
    <xf numFmtId="166" fontId="17" fillId="0" borderId="24" xfId="0" applyNumberFormat="1" applyFont="1" applyBorder="1" applyAlignment="1">
      <alignment horizontal="left" vertical="center" indent="3"/>
    </xf>
    <xf numFmtId="166" fontId="85" fillId="0" borderId="43" xfId="0" applyNumberFormat="1" applyFont="1" applyBorder="1" applyAlignment="1">
      <alignment horizontal="left" vertical="center" indent="3"/>
    </xf>
    <xf numFmtId="166" fontId="85" fillId="0" borderId="0" xfId="0" applyNumberFormat="1" applyFont="1" applyAlignment="1">
      <alignment horizontal="left" vertical="center" indent="3"/>
    </xf>
    <xf numFmtId="166" fontId="17" fillId="32" borderId="16" xfId="0" applyNumberFormat="1" applyFont="1" applyFill="1" applyBorder="1" applyAlignment="1" applyProtection="1">
      <alignment horizontal="left" vertical="center" indent="3"/>
      <protection locked="0"/>
    </xf>
    <xf numFmtId="166" fontId="17" fillId="32" borderId="20" xfId="0" applyNumberFormat="1" applyFont="1" applyFill="1" applyBorder="1" applyAlignment="1" applyProtection="1">
      <alignment horizontal="left" vertical="center" indent="3"/>
      <protection locked="0"/>
    </xf>
    <xf numFmtId="166" fontId="17" fillId="0" borderId="22" xfId="0" applyNumberFormat="1" applyFont="1" applyBorder="1" applyAlignment="1">
      <alignment horizontal="left" vertical="center" indent="3"/>
    </xf>
    <xf numFmtId="0" fontId="12" fillId="32" borderId="15" xfId="0" applyFont="1" applyFill="1" applyBorder="1" applyAlignment="1">
      <alignment horizontal="center" vertical="center" wrapText="1"/>
    </xf>
    <xf numFmtId="0" fontId="12" fillId="32" borderId="17" xfId="0" applyFont="1" applyFill="1" applyBorder="1" applyAlignment="1">
      <alignment horizontal="center" vertical="center" wrapText="1"/>
    </xf>
    <xf numFmtId="169" fontId="0" fillId="32" borderId="20" xfId="0" applyNumberFormat="1" applyFill="1" applyBorder="1" applyAlignment="1">
      <alignment horizontal="center" vertical="center"/>
    </xf>
    <xf numFmtId="169" fontId="12" fillId="32" borderId="15" xfId="0" applyNumberFormat="1" applyFont="1" applyFill="1" applyBorder="1" applyAlignment="1">
      <alignment horizontal="center" vertical="center"/>
    </xf>
    <xf numFmtId="169" fontId="0" fillId="32" borderId="17" xfId="0" applyNumberFormat="1" applyFill="1" applyBorder="1" applyAlignment="1">
      <alignment horizontal="center" vertical="center"/>
    </xf>
    <xf numFmtId="0" fontId="12" fillId="32" borderId="19" xfId="0" applyFont="1" applyFill="1" applyBorder="1"/>
    <xf numFmtId="0" fontId="6" fillId="32" borderId="19" xfId="0" applyFont="1" applyFill="1" applyBorder="1"/>
    <xf numFmtId="0" fontId="6" fillId="32" borderId="30" xfId="0" applyFont="1" applyFill="1" applyBorder="1"/>
    <xf numFmtId="0" fontId="12" fillId="0" borderId="48" xfId="0" applyFont="1" applyBorder="1" applyAlignment="1" applyProtection="1">
      <alignment horizontal="center"/>
      <protection locked="0"/>
    </xf>
    <xf numFmtId="0" fontId="12" fillId="0" borderId="49" xfId="0" applyFont="1" applyBorder="1" applyAlignment="1" applyProtection="1">
      <alignment horizontal="center"/>
      <protection locked="0"/>
    </xf>
    <xf numFmtId="0" fontId="12" fillId="0" borderId="50" xfId="0" applyFont="1" applyBorder="1" applyAlignment="1" applyProtection="1">
      <alignment horizontal="center"/>
      <protection locked="0"/>
    </xf>
    <xf numFmtId="166" fontId="17" fillId="39" borderId="30" xfId="0" applyNumberFormat="1" applyFont="1" applyFill="1" applyBorder="1" applyAlignment="1">
      <alignment horizontal="left" vertical="center" indent="3"/>
    </xf>
    <xf numFmtId="166" fontId="17" fillId="0" borderId="16" xfId="0" applyNumberFormat="1" applyFont="1" applyBorder="1" applyAlignment="1" applyProtection="1">
      <alignment horizontal="left" vertical="center" indent="3"/>
      <protection locked="0"/>
    </xf>
    <xf numFmtId="166" fontId="17" fillId="0" borderId="20" xfId="0" applyNumberFormat="1" applyFont="1" applyBorder="1" applyAlignment="1" applyProtection="1">
      <alignment horizontal="left" vertical="center" indent="3"/>
      <protection locked="0"/>
    </xf>
    <xf numFmtId="175" fontId="84" fillId="0" borderId="43" xfId="0" applyNumberFormat="1" applyFont="1" applyBorder="1" applyAlignment="1">
      <alignment horizontal="center"/>
    </xf>
    <xf numFmtId="0" fontId="84" fillId="0" borderId="0" xfId="0" applyFont="1" applyAlignment="1">
      <alignment horizontal="center"/>
    </xf>
    <xf numFmtId="166" fontId="17" fillId="32" borderId="51" xfId="0" applyNumberFormat="1" applyFont="1" applyFill="1" applyBorder="1" applyAlignment="1">
      <alignment horizontal="center" vertical="center"/>
    </xf>
    <xf numFmtId="10" fontId="85" fillId="0" borderId="43" xfId="0" applyNumberFormat="1" applyFont="1" applyBorder="1" applyAlignment="1">
      <alignment horizontal="left" vertical="center" indent="3"/>
    </xf>
    <xf numFmtId="10" fontId="85" fillId="0" borderId="0" xfId="0" applyNumberFormat="1" applyFont="1" applyAlignment="1">
      <alignment horizontal="left" vertical="center" indent="3"/>
    </xf>
    <xf numFmtId="168" fontId="65" fillId="0" borderId="0" xfId="0" applyNumberFormat="1" applyFont="1" applyAlignment="1">
      <alignment horizontal="center" vertical="center" wrapText="1"/>
    </xf>
    <xf numFmtId="168" fontId="65" fillId="0" borderId="12" xfId="0" applyNumberFormat="1" applyFont="1" applyBorder="1" applyAlignment="1">
      <alignment horizontal="center" vertical="center" wrapText="1"/>
    </xf>
    <xf numFmtId="168" fontId="65" fillId="0" borderId="15" xfId="0" applyNumberFormat="1" applyFont="1" applyBorder="1" applyAlignment="1">
      <alignment horizontal="center" vertical="center" wrapText="1"/>
    </xf>
    <xf numFmtId="168" fontId="65" fillId="0" borderId="14" xfId="0" applyNumberFormat="1" applyFont="1" applyBorder="1" applyAlignment="1">
      <alignment horizontal="center" vertical="center" wrapText="1"/>
    </xf>
    <xf numFmtId="0" fontId="6" fillId="39" borderId="20" xfId="0" applyFont="1" applyFill="1" applyBorder="1" applyAlignment="1">
      <alignment horizontal="center" vertical="center"/>
    </xf>
    <xf numFmtId="0" fontId="6" fillId="39" borderId="17" xfId="0" applyFont="1" applyFill="1" applyBorder="1" applyAlignment="1">
      <alignment horizontal="center" vertical="center"/>
    </xf>
    <xf numFmtId="1" fontId="12" fillId="32" borderId="18" xfId="0" applyNumberFormat="1" applyFont="1" applyFill="1" applyBorder="1" applyAlignment="1">
      <alignment horizontal="center" vertical="center"/>
    </xf>
    <xf numFmtId="1" fontId="12" fillId="32" borderId="30" xfId="0" applyNumberFormat="1" applyFont="1" applyFill="1" applyBorder="1" applyAlignment="1">
      <alignment horizontal="center" vertical="center"/>
    </xf>
    <xf numFmtId="10" fontId="12" fillId="32" borderId="18" xfId="0" applyNumberFormat="1" applyFont="1" applyFill="1" applyBorder="1" applyAlignment="1">
      <alignment horizontal="center" wrapText="1"/>
    </xf>
    <xf numFmtId="10" fontId="12" fillId="32" borderId="30" xfId="0" applyNumberFormat="1" applyFont="1" applyFill="1" applyBorder="1" applyAlignment="1">
      <alignment horizontal="center" wrapText="1"/>
    </xf>
    <xf numFmtId="0" fontId="11" fillId="32" borderId="16" xfId="0" applyFont="1" applyFill="1" applyBorder="1" applyAlignment="1">
      <alignment horizontal="center" vertical="center" wrapText="1"/>
    </xf>
    <xf numFmtId="0" fontId="11" fillId="32" borderId="13" xfId="0" applyFont="1" applyFill="1" applyBorder="1" applyAlignment="1">
      <alignment horizontal="center" vertical="center" wrapText="1"/>
    </xf>
    <xf numFmtId="0" fontId="11" fillId="32" borderId="20" xfId="0" applyFont="1" applyFill="1" applyBorder="1" applyAlignment="1">
      <alignment horizontal="center" vertical="center" wrapText="1"/>
    </xf>
    <xf numFmtId="0" fontId="11" fillId="32" borderId="12" xfId="0" applyFont="1" applyFill="1" applyBorder="1" applyAlignment="1">
      <alignment horizontal="center" vertical="center" wrapText="1"/>
    </xf>
    <xf numFmtId="0" fontId="11" fillId="32" borderId="0" xfId="0" applyFont="1" applyFill="1" applyAlignment="1">
      <alignment horizontal="center" vertical="center" wrapText="1"/>
    </xf>
    <xf numFmtId="0" fontId="11" fillId="32" borderId="11" xfId="0" applyFont="1" applyFill="1" applyBorder="1" applyAlignment="1">
      <alignment horizontal="center" vertical="center" wrapText="1"/>
    </xf>
    <xf numFmtId="0" fontId="14" fillId="32" borderId="14" xfId="0" applyFont="1" applyFill="1" applyBorder="1" applyAlignment="1" applyProtection="1">
      <alignment horizontal="center"/>
      <protection locked="0"/>
    </xf>
    <xf numFmtId="166" fontId="17" fillId="0" borderId="18" xfId="0" applyNumberFormat="1" applyFont="1" applyBorder="1" applyAlignment="1">
      <alignment horizontal="left" vertical="center" indent="3"/>
    </xf>
    <xf numFmtId="166" fontId="17" fillId="0" borderId="30" xfId="0" applyNumberFormat="1" applyFont="1" applyBorder="1" applyAlignment="1">
      <alignment horizontal="left" vertical="center" indent="3"/>
    </xf>
    <xf numFmtId="166" fontId="17" fillId="32" borderId="22" xfId="0" applyNumberFormat="1" applyFont="1" applyFill="1" applyBorder="1" applyAlignment="1">
      <alignment horizontal="left" vertical="center" indent="3"/>
    </xf>
    <xf numFmtId="0" fontId="12" fillId="32" borderId="15" xfId="0" applyFont="1" applyFill="1" applyBorder="1" applyAlignment="1">
      <alignment horizontal="right"/>
    </xf>
    <xf numFmtId="0" fontId="12" fillId="32" borderId="14" xfId="0" applyFont="1" applyFill="1" applyBorder="1" applyAlignment="1">
      <alignment horizontal="right"/>
    </xf>
    <xf numFmtId="166" fontId="17" fillId="32" borderId="28" xfId="0" applyNumberFormat="1" applyFont="1" applyFill="1" applyBorder="1" applyAlignment="1" applyProtection="1">
      <alignment horizontal="left" vertical="center" indent="3"/>
      <protection locked="0"/>
    </xf>
    <xf numFmtId="166" fontId="17" fillId="32" borderId="29" xfId="0" applyNumberFormat="1" applyFont="1" applyFill="1" applyBorder="1" applyAlignment="1" applyProtection="1">
      <alignment horizontal="left" vertical="center" indent="3"/>
      <protection locked="0"/>
    </xf>
    <xf numFmtId="166" fontId="17" fillId="32" borderId="33" xfId="0" applyNumberFormat="1" applyFont="1" applyFill="1" applyBorder="1" applyAlignment="1" applyProtection="1">
      <alignment horizontal="left" vertical="center" indent="3"/>
      <protection locked="0"/>
    </xf>
    <xf numFmtId="166" fontId="17" fillId="32" borderId="34" xfId="0" applyNumberFormat="1" applyFont="1" applyFill="1" applyBorder="1" applyAlignment="1" applyProtection="1">
      <alignment horizontal="left" vertical="center" indent="3"/>
      <protection locked="0"/>
    </xf>
    <xf numFmtId="0" fontId="11" fillId="32" borderId="12" xfId="0" applyFont="1" applyFill="1" applyBorder="1" applyAlignment="1">
      <alignment horizontal="center" vertical="center"/>
    </xf>
    <xf numFmtId="0" fontId="11" fillId="32" borderId="0" xfId="0" applyFont="1" applyFill="1" applyAlignment="1">
      <alignment horizontal="center" vertical="center"/>
    </xf>
    <xf numFmtId="0" fontId="11" fillId="32" borderId="11" xfId="0" applyFont="1" applyFill="1" applyBorder="1" applyAlignment="1">
      <alignment horizontal="center" vertical="center"/>
    </xf>
    <xf numFmtId="166" fontId="17" fillId="32" borderId="25" xfId="0" applyNumberFormat="1" applyFont="1" applyFill="1" applyBorder="1" applyAlignment="1">
      <alignment horizontal="left" vertical="center" indent="3"/>
    </xf>
    <xf numFmtId="166" fontId="17" fillId="32" borderId="27" xfId="0" applyNumberFormat="1" applyFont="1" applyFill="1" applyBorder="1" applyAlignment="1">
      <alignment horizontal="left" vertical="center" indent="3"/>
    </xf>
    <xf numFmtId="166" fontId="17" fillId="32" borderId="33" xfId="0" applyNumberFormat="1" applyFont="1" applyFill="1" applyBorder="1" applyAlignment="1">
      <alignment horizontal="left" vertical="center" indent="3"/>
    </xf>
    <xf numFmtId="166" fontId="17" fillId="32" borderId="34" xfId="0" applyNumberFormat="1" applyFont="1" applyFill="1" applyBorder="1" applyAlignment="1">
      <alignment horizontal="left" vertical="center" indent="3"/>
    </xf>
    <xf numFmtId="1" fontId="12" fillId="32" borderId="18" xfId="0" applyNumberFormat="1" applyFont="1" applyFill="1" applyBorder="1" applyAlignment="1">
      <alignment horizontal="center" vertical="center" wrapText="1"/>
    </xf>
    <xf numFmtId="0" fontId="12" fillId="32" borderId="30" xfId="0" applyFont="1" applyFill="1" applyBorder="1" applyAlignment="1">
      <alignment horizontal="center" vertical="center" wrapText="1"/>
    </xf>
    <xf numFmtId="0" fontId="24" fillId="0" borderId="0" xfId="0" applyFont="1" applyAlignment="1">
      <alignment horizontal="left"/>
    </xf>
    <xf numFmtId="0" fontId="24" fillId="0" borderId="0" xfId="0" applyFont="1" applyAlignment="1">
      <alignment horizontal="left" wrapText="1"/>
    </xf>
    <xf numFmtId="0" fontId="24" fillId="0" borderId="0" xfId="0" applyFont="1" applyAlignment="1">
      <alignment horizontal="center" wrapText="1"/>
    </xf>
    <xf numFmtId="0" fontId="56" fillId="0" borderId="0" xfId="0" applyFont="1" applyAlignment="1">
      <alignment horizontal="left" wrapText="1"/>
    </xf>
    <xf numFmtId="0" fontId="66" fillId="0" borderId="31" xfId="0" applyFont="1" applyBorder="1" applyAlignment="1">
      <alignment horizontal="left" vertical="center"/>
    </xf>
    <xf numFmtId="0" fontId="66" fillId="0" borderId="35" xfId="0" applyFont="1" applyBorder="1" applyAlignment="1">
      <alignment horizontal="left" vertical="center"/>
    </xf>
    <xf numFmtId="0" fontId="66" fillId="0" borderId="32" xfId="0" applyFont="1" applyBorder="1" applyAlignment="1">
      <alignment horizontal="left" vertical="center"/>
    </xf>
    <xf numFmtId="0" fontId="66" fillId="0" borderId="44" xfId="0" applyFont="1" applyBorder="1" applyAlignment="1">
      <alignment horizontal="left" vertical="center" wrapText="1"/>
    </xf>
    <xf numFmtId="0" fontId="66" fillId="0" borderId="26" xfId="0" applyFont="1" applyBorder="1" applyAlignment="1">
      <alignment horizontal="left" vertical="center" wrapText="1"/>
    </xf>
    <xf numFmtId="0" fontId="66" fillId="0" borderId="45" xfId="0" applyFont="1" applyBorder="1" applyAlignment="1">
      <alignment horizontal="left" vertical="center" wrapText="1"/>
    </xf>
    <xf numFmtId="0" fontId="66" fillId="0" borderId="43" xfId="0" applyFont="1" applyBorder="1" applyAlignment="1">
      <alignment horizontal="left" vertical="center" wrapText="1"/>
    </xf>
    <xf numFmtId="0" fontId="66" fillId="0" borderId="0" xfId="0" applyFont="1" applyAlignment="1">
      <alignment horizontal="left" vertical="center" wrapText="1"/>
    </xf>
    <xf numFmtId="0" fontId="66" fillId="0" borderId="54" xfId="0" applyFont="1" applyBorder="1" applyAlignment="1">
      <alignment horizontal="left" vertical="center" wrapText="1"/>
    </xf>
    <xf numFmtId="0" fontId="66" fillId="0" borderId="46" xfId="0" applyFont="1" applyBorder="1" applyAlignment="1">
      <alignment horizontal="left" vertical="center" wrapText="1"/>
    </xf>
    <xf numFmtId="0" fontId="66" fillId="0" borderId="23" xfId="0" applyFont="1" applyBorder="1" applyAlignment="1">
      <alignment horizontal="left" vertical="center" wrapText="1"/>
    </xf>
    <xf numFmtId="0" fontId="66" fillId="0" borderId="47" xfId="0" applyFont="1" applyBorder="1" applyAlignment="1">
      <alignment horizontal="left" vertical="center" wrapText="1"/>
    </xf>
    <xf numFmtId="0" fontId="86" fillId="0" borderId="0" xfId="0" applyFont="1" applyAlignment="1">
      <alignment horizontal="center" vertical="center" wrapText="1"/>
    </xf>
    <xf numFmtId="0" fontId="26" fillId="0" borderId="0" xfId="0" applyFont="1" applyAlignment="1">
      <alignment horizontal="center" vertical="center" wrapText="1"/>
    </xf>
    <xf numFmtId="0" fontId="88" fillId="0" borderId="0" xfId="0" applyFont="1" applyAlignment="1">
      <alignment horizontal="center" vertical="center" wrapText="1"/>
    </xf>
    <xf numFmtId="0" fontId="88" fillId="0" borderId="54" xfId="0" applyFont="1" applyBorder="1" applyAlignment="1">
      <alignment horizontal="center" vertical="center" wrapText="1"/>
    </xf>
    <xf numFmtId="0" fontId="16" fillId="0" borderId="0" xfId="0" applyFont="1" applyAlignment="1">
      <alignment horizontal="center"/>
    </xf>
    <xf numFmtId="0" fontId="101" fillId="35" borderId="31" xfId="0" applyFont="1" applyFill="1" applyBorder="1" applyAlignment="1">
      <alignment horizontal="center"/>
    </xf>
    <xf numFmtId="0" fontId="101" fillId="35" borderId="32" xfId="0" applyFont="1" applyFill="1" applyBorder="1" applyAlignment="1">
      <alignment horizontal="center"/>
    </xf>
    <xf numFmtId="166" fontId="15" fillId="29" borderId="18" xfId="0" applyNumberFormat="1" applyFont="1" applyFill="1" applyBorder="1" applyAlignment="1" applyProtection="1">
      <alignment horizontal="center" vertical="center"/>
      <protection locked="0"/>
    </xf>
    <xf numFmtId="166" fontId="15" fillId="29" borderId="30" xfId="0" applyNumberFormat="1" applyFont="1" applyFill="1" applyBorder="1" applyAlignment="1" applyProtection="1">
      <alignment horizontal="center" vertical="center"/>
      <protection locked="0"/>
    </xf>
    <xf numFmtId="166" fontId="101" fillId="29" borderId="120" xfId="0" applyNumberFormat="1" applyFont="1" applyFill="1" applyBorder="1" applyAlignment="1" applyProtection="1">
      <alignment horizontal="center" vertical="center"/>
      <protection locked="0"/>
    </xf>
    <xf numFmtId="166" fontId="101" fillId="29" borderId="99" xfId="0" applyNumberFormat="1" applyFont="1" applyFill="1" applyBorder="1" applyAlignment="1" applyProtection="1">
      <alignment horizontal="center" vertical="center"/>
      <protection locked="0"/>
    </xf>
    <xf numFmtId="166" fontId="15" fillId="29" borderId="15" xfId="0" applyNumberFormat="1" applyFont="1" applyFill="1" applyBorder="1" applyAlignment="1" applyProtection="1">
      <alignment horizontal="center" vertical="center"/>
      <protection locked="0"/>
    </xf>
    <xf numFmtId="166" fontId="15" fillId="29" borderId="17" xfId="0" applyNumberFormat="1" applyFont="1" applyFill="1" applyBorder="1" applyAlignment="1" applyProtection="1">
      <alignment horizontal="center" vertical="center"/>
      <protection locked="0"/>
    </xf>
    <xf numFmtId="166" fontId="15" fillId="35" borderId="18" xfId="0" applyNumberFormat="1" applyFont="1" applyFill="1" applyBorder="1" applyAlignment="1" applyProtection="1">
      <alignment horizontal="center" vertical="center"/>
      <protection locked="0"/>
    </xf>
    <xf numFmtId="166" fontId="15" fillId="35" borderId="30" xfId="0" applyNumberFormat="1" applyFont="1" applyFill="1" applyBorder="1" applyAlignment="1" applyProtection="1">
      <alignment horizontal="center" vertical="center"/>
      <protection locked="0"/>
    </xf>
    <xf numFmtId="166" fontId="15" fillId="35" borderId="15" xfId="0" applyNumberFormat="1" applyFont="1" applyFill="1" applyBorder="1" applyAlignment="1" applyProtection="1">
      <alignment horizontal="center" vertical="center"/>
      <protection locked="0"/>
    </xf>
    <xf numFmtId="166" fontId="15" fillId="35" borderId="17" xfId="0" applyNumberFormat="1" applyFont="1" applyFill="1" applyBorder="1" applyAlignment="1" applyProtection="1">
      <alignment horizontal="center" vertical="center"/>
      <protection locked="0"/>
    </xf>
    <xf numFmtId="166" fontId="101" fillId="35" borderId="120" xfId="0" applyNumberFormat="1" applyFont="1" applyFill="1" applyBorder="1" applyAlignment="1" applyProtection="1">
      <alignment horizontal="center" vertical="center"/>
      <protection locked="0"/>
    </xf>
    <xf numFmtId="166" fontId="101" fillId="35" borderId="99" xfId="0" applyNumberFormat="1" applyFont="1" applyFill="1" applyBorder="1" applyAlignment="1" applyProtection="1">
      <alignment horizontal="center" vertical="center"/>
      <protection locked="0"/>
    </xf>
    <xf numFmtId="0" fontId="101" fillId="29" borderId="31" xfId="0" applyFont="1" applyFill="1" applyBorder="1" applyAlignment="1">
      <alignment horizontal="center"/>
    </xf>
    <xf numFmtId="0" fontId="101" fillId="29" borderId="32" xfId="0" applyFont="1" applyFill="1" applyBorder="1" applyAlignment="1">
      <alignment horizontal="center"/>
    </xf>
    <xf numFmtId="166" fontId="101" fillId="29" borderId="18" xfId="0" applyNumberFormat="1" applyFont="1" applyFill="1" applyBorder="1" applyAlignment="1" applyProtection="1">
      <alignment horizontal="center" vertical="center"/>
      <protection locked="0"/>
    </xf>
    <xf numFmtId="166" fontId="101" fillId="29" borderId="30" xfId="0" applyNumberFormat="1" applyFont="1" applyFill="1" applyBorder="1" applyAlignment="1" applyProtection="1">
      <alignment horizontal="center" vertical="center"/>
      <protection locked="0"/>
    </xf>
    <xf numFmtId="166" fontId="15" fillId="0" borderId="18" xfId="0" applyNumberFormat="1" applyFont="1" applyBorder="1" applyAlignment="1" applyProtection="1">
      <alignment horizontal="center" vertical="center"/>
      <protection locked="0"/>
    </xf>
    <xf numFmtId="166" fontId="15" fillId="0" borderId="30" xfId="0" applyNumberFormat="1" applyFont="1" applyBorder="1" applyAlignment="1" applyProtection="1">
      <alignment horizontal="center" vertical="center"/>
      <protection locked="0"/>
    </xf>
    <xf numFmtId="166" fontId="15" fillId="39" borderId="18" xfId="0" applyNumberFormat="1" applyFont="1" applyFill="1" applyBorder="1" applyAlignment="1" applyProtection="1">
      <alignment horizontal="center" vertical="center"/>
      <protection locked="0"/>
    </xf>
    <xf numFmtId="166" fontId="15" fillId="39" borderId="30" xfId="0" applyNumberFormat="1" applyFont="1" applyFill="1" applyBorder="1" applyAlignment="1" applyProtection="1">
      <alignment horizontal="center" vertical="center"/>
      <protection locked="0"/>
    </xf>
    <xf numFmtId="166" fontId="15" fillId="39" borderId="15" xfId="0" applyNumberFormat="1" applyFont="1" applyFill="1" applyBorder="1" applyAlignment="1" applyProtection="1">
      <alignment horizontal="center" vertical="center"/>
      <protection locked="0"/>
    </xf>
    <xf numFmtId="166" fontId="15" fillId="39" borderId="17" xfId="0" applyNumberFormat="1" applyFont="1" applyFill="1" applyBorder="1" applyAlignment="1" applyProtection="1">
      <alignment horizontal="center" vertical="center"/>
      <protection locked="0"/>
    </xf>
    <xf numFmtId="0" fontId="16" fillId="0" borderId="23" xfId="0" applyFont="1" applyBorder="1" applyAlignment="1">
      <alignment horizontal="center"/>
    </xf>
    <xf numFmtId="166" fontId="101" fillId="35" borderId="18" xfId="0" applyNumberFormat="1" applyFont="1" applyFill="1" applyBorder="1" applyAlignment="1" applyProtection="1">
      <alignment horizontal="center" vertical="center"/>
      <protection locked="0"/>
    </xf>
    <xf numFmtId="166" fontId="101" fillId="35" borderId="30" xfId="0" applyNumberFormat="1" applyFont="1" applyFill="1" applyBorder="1" applyAlignment="1" applyProtection="1">
      <alignment horizontal="center" vertical="center"/>
      <protection locked="0"/>
    </xf>
    <xf numFmtId="0" fontId="101" fillId="29" borderId="22" xfId="0" applyFont="1" applyFill="1" applyBorder="1" applyAlignment="1">
      <alignment horizontal="center" vertical="center"/>
    </xf>
    <xf numFmtId="0" fontId="103" fillId="0" borderId="71" xfId="49" applyFont="1" applyBorder="1" applyAlignment="1">
      <alignment horizontal="center"/>
    </xf>
    <xf numFmtId="0" fontId="103" fillId="0" borderId="72" xfId="49" applyFont="1" applyBorder="1" applyAlignment="1">
      <alignment horizontal="center"/>
    </xf>
    <xf numFmtId="0" fontId="103" fillId="0" borderId="73" xfId="49" applyFont="1" applyBorder="1" applyAlignment="1">
      <alignment horizontal="center"/>
    </xf>
    <xf numFmtId="0" fontId="102" fillId="0" borderId="46" xfId="49" applyFont="1" applyBorder="1" applyAlignment="1">
      <alignment horizontal="left" vertical="top" wrapText="1"/>
    </xf>
    <xf numFmtId="0" fontId="102" fillId="0" borderId="23" xfId="49" applyFont="1" applyBorder="1" applyAlignment="1">
      <alignment horizontal="left" vertical="top" wrapText="1"/>
    </xf>
    <xf numFmtId="0" fontId="102" fillId="0" borderId="47" xfId="49" applyFont="1" applyBorder="1" applyAlignment="1">
      <alignment horizontal="left" vertical="top" wrapText="1"/>
    </xf>
    <xf numFmtId="0" fontId="101" fillId="29" borderId="22" xfId="0" applyFont="1" applyFill="1" applyBorder="1" applyAlignment="1">
      <alignment horizontal="center"/>
    </xf>
    <xf numFmtId="0" fontId="101" fillId="29" borderId="21" xfId="0" applyFont="1" applyFill="1" applyBorder="1" applyAlignment="1">
      <alignment horizontal="center"/>
    </xf>
    <xf numFmtId="0" fontId="75" fillId="0" borderId="71" xfId="49" applyFont="1" applyBorder="1" applyAlignment="1">
      <alignment horizontal="center"/>
    </xf>
    <xf numFmtId="0" fontId="75" fillId="0" borderId="72" xfId="49" applyFont="1" applyBorder="1" applyAlignment="1">
      <alignment horizontal="center"/>
    </xf>
    <xf numFmtId="0" fontId="75" fillId="0" borderId="73" xfId="49" applyFont="1" applyBorder="1" applyAlignment="1">
      <alignment horizontal="center"/>
    </xf>
    <xf numFmtId="0" fontId="75" fillId="0" borderId="31" xfId="49" applyFont="1" applyBorder="1" applyAlignment="1">
      <alignment horizontal="center"/>
    </xf>
    <xf numFmtId="0" fontId="75" fillId="0" borderId="35" xfId="49" applyFont="1" applyBorder="1" applyAlignment="1">
      <alignment horizontal="center"/>
    </xf>
    <xf numFmtId="0" fontId="75" fillId="0" borderId="32" xfId="49" applyFont="1" applyBorder="1" applyAlignment="1">
      <alignment horizontal="center"/>
    </xf>
    <xf numFmtId="0" fontId="4" fillId="0" borderId="74" xfId="49" applyBorder="1" applyAlignment="1">
      <alignment horizontal="left" vertical="top" wrapText="1"/>
    </xf>
    <xf numFmtId="0" fontId="4" fillId="0" borderId="75" xfId="49" applyBorder="1" applyAlignment="1">
      <alignment horizontal="left" vertical="top" wrapText="1"/>
    </xf>
    <xf numFmtId="0" fontId="4" fillId="0" borderId="76" xfId="49" applyBorder="1" applyAlignment="1">
      <alignment horizontal="left" vertical="top" wrapText="1"/>
    </xf>
    <xf numFmtId="0" fontId="4" fillId="0" borderId="43" xfId="49" applyBorder="1" applyAlignment="1">
      <alignment horizontal="left" vertical="top" wrapText="1"/>
    </xf>
    <xf numFmtId="0" fontId="4" fillId="0" borderId="0" xfId="49" applyAlignment="1">
      <alignment horizontal="left" vertical="top" wrapText="1"/>
    </xf>
    <xf numFmtId="0" fontId="4" fillId="0" borderId="54" xfId="49" applyBorder="1" applyAlignment="1">
      <alignment horizontal="left" vertical="top" wrapText="1"/>
    </xf>
    <xf numFmtId="0" fontId="4" fillId="0" borderId="46" xfId="49" applyBorder="1" applyAlignment="1">
      <alignment horizontal="left" vertical="top" wrapText="1"/>
    </xf>
    <xf numFmtId="0" fontId="4" fillId="0" borderId="23" xfId="49" applyBorder="1" applyAlignment="1">
      <alignment horizontal="left" vertical="top" wrapText="1"/>
    </xf>
    <xf numFmtId="0" fontId="4" fillId="0" borderId="47" xfId="49" applyBorder="1" applyAlignment="1">
      <alignment horizontal="left" vertical="top" wrapText="1"/>
    </xf>
    <xf numFmtId="0" fontId="76" fillId="0" borderId="0" xfId="49" applyFont="1" applyAlignment="1">
      <alignment horizontal="left"/>
    </xf>
    <xf numFmtId="0" fontId="75" fillId="0" borderId="68" xfId="49" applyFont="1" applyBorder="1" applyAlignment="1">
      <alignment horizontal="center" vertical="center" textRotation="255"/>
    </xf>
    <xf numFmtId="0" fontId="75" fillId="0" borderId="69" xfId="49" applyFont="1" applyBorder="1" applyAlignment="1">
      <alignment horizontal="center" vertical="center" textRotation="255"/>
    </xf>
    <xf numFmtId="0" fontId="75" fillId="0" borderId="70" xfId="49" applyFont="1" applyBorder="1" applyAlignment="1">
      <alignment horizontal="center" vertical="center" textRotation="255"/>
    </xf>
    <xf numFmtId="173" fontId="75" fillId="0" borderId="71" xfId="49" applyNumberFormat="1" applyFont="1" applyBorder="1" applyAlignment="1">
      <alignment horizontal="center"/>
    </xf>
    <xf numFmtId="173" fontId="75" fillId="0" borderId="72" xfId="49" applyNumberFormat="1" applyFont="1" applyBorder="1" applyAlignment="1">
      <alignment horizontal="center"/>
    </xf>
    <xf numFmtId="173" fontId="75" fillId="0" borderId="73" xfId="49" applyNumberFormat="1" applyFont="1" applyBorder="1" applyAlignment="1">
      <alignment horizontal="center"/>
    </xf>
    <xf numFmtId="0" fontId="3" fillId="0" borderId="44" xfId="49" applyFont="1" applyBorder="1" applyAlignment="1">
      <alignment horizontal="left" vertical="top" wrapText="1"/>
    </xf>
    <xf numFmtId="0" fontId="4" fillId="0" borderId="26" xfId="49" applyBorder="1" applyAlignment="1">
      <alignment horizontal="left" vertical="top" wrapText="1"/>
    </xf>
    <xf numFmtId="0" fontId="4" fillId="0" borderId="45" xfId="49" applyBorder="1" applyAlignment="1">
      <alignment horizontal="left" vertical="top" wrapText="1"/>
    </xf>
    <xf numFmtId="0" fontId="1" fillId="29" borderId="108" xfId="49" applyFont="1" applyFill="1" applyBorder="1" applyAlignment="1">
      <alignment horizontal="left"/>
    </xf>
    <xf numFmtId="0" fontId="1" fillId="29" borderId="109" xfId="49" applyFont="1" applyFill="1" applyBorder="1" applyAlignment="1">
      <alignment horizontal="left"/>
    </xf>
    <xf numFmtId="0" fontId="1" fillId="0" borderId="108" xfId="49" applyFont="1" applyBorder="1" applyAlignment="1">
      <alignment horizontal="left"/>
    </xf>
    <xf numFmtId="0" fontId="1" fillId="0" borderId="109" xfId="49" applyFont="1" applyBorder="1" applyAlignment="1">
      <alignment horizontal="left"/>
    </xf>
    <xf numFmtId="0" fontId="1" fillId="0" borderId="110" xfId="49" applyFont="1" applyBorder="1" applyAlignment="1">
      <alignment horizontal="left"/>
    </xf>
    <xf numFmtId="0" fontId="1" fillId="0" borderId="111" xfId="49" applyFont="1" applyBorder="1" applyAlignment="1">
      <alignment horizontal="left"/>
    </xf>
    <xf numFmtId="0" fontId="4" fillId="29" borderId="110" xfId="49" applyFill="1" applyBorder="1" applyAlignment="1">
      <alignment horizontal="left"/>
    </xf>
    <xf numFmtId="0" fontId="4" fillId="29" borderId="111" xfId="49" applyFill="1" applyBorder="1" applyAlignment="1">
      <alignment horizontal="left"/>
    </xf>
    <xf numFmtId="0" fontId="1" fillId="0" borderId="112" xfId="49" applyFont="1" applyBorder="1" applyAlignment="1">
      <alignment horizontal="left"/>
    </xf>
    <xf numFmtId="0" fontId="4" fillId="0" borderId="113" xfId="49" applyBorder="1" applyAlignment="1">
      <alignment horizontal="left"/>
    </xf>
    <xf numFmtId="0" fontId="75" fillId="0" borderId="115" xfId="49" applyFont="1" applyBorder="1" applyAlignment="1">
      <alignment horizontal="left"/>
    </xf>
    <xf numFmtId="0" fontId="75" fillId="0" borderId="116" xfId="49" applyFont="1" applyBorder="1" applyAlignment="1">
      <alignment horizontal="left"/>
    </xf>
    <xf numFmtId="0" fontId="4" fillId="0" borderId="102" xfId="49" applyBorder="1" applyAlignment="1">
      <alignment horizontal="center"/>
    </xf>
    <xf numFmtId="0" fontId="4" fillId="0" borderId="103" xfId="49" applyBorder="1" applyAlignment="1">
      <alignment horizontal="center"/>
    </xf>
    <xf numFmtId="0" fontId="1" fillId="29" borderId="110" xfId="49" applyFont="1" applyFill="1" applyBorder="1" applyAlignment="1">
      <alignment horizontal="left"/>
    </xf>
    <xf numFmtId="0" fontId="1" fillId="29" borderId="111" xfId="49" applyFont="1" applyFill="1" applyBorder="1" applyAlignment="1">
      <alignment horizontal="left"/>
    </xf>
    <xf numFmtId="0" fontId="1" fillId="29" borderId="112" xfId="49" applyFont="1" applyFill="1" applyBorder="1" applyAlignment="1">
      <alignment horizontal="left"/>
    </xf>
    <xf numFmtId="0" fontId="4" fillId="29" borderId="113" xfId="49" applyFill="1" applyBorder="1" applyAlignment="1">
      <alignment horizontal="left"/>
    </xf>
    <xf numFmtId="0" fontId="4" fillId="0" borderId="110" xfId="49" applyBorder="1" applyAlignment="1">
      <alignment horizontal="left"/>
    </xf>
    <xf numFmtId="0" fontId="4" fillId="0" borderId="111" xfId="49" applyBorder="1" applyAlignment="1">
      <alignment horizontal="left"/>
    </xf>
    <xf numFmtId="0" fontId="80" fillId="0" borderId="43" xfId="50" applyBorder="1" applyAlignment="1">
      <alignment horizontal="left"/>
    </xf>
    <xf numFmtId="0" fontId="80" fillId="0" borderId="0" xfId="50" applyBorder="1" applyAlignment="1">
      <alignment horizontal="left"/>
    </xf>
    <xf numFmtId="0" fontId="80" fillId="0" borderId="54" xfId="50" applyBorder="1" applyAlignment="1">
      <alignment horizontal="left"/>
    </xf>
    <xf numFmtId="0" fontId="4" fillId="0" borderId="44" xfId="49" applyBorder="1" applyAlignment="1">
      <alignment horizontal="left" vertical="top"/>
    </xf>
    <xf numFmtId="0" fontId="4" fillId="0" borderId="26" xfId="49" applyBorder="1" applyAlignment="1">
      <alignment horizontal="left" vertical="top"/>
    </xf>
    <xf numFmtId="0" fontId="4" fillId="0" borderId="45" xfId="49" applyBorder="1" applyAlignment="1">
      <alignment horizontal="left" vertical="top"/>
    </xf>
    <xf numFmtId="0" fontId="4" fillId="0" borderId="43" xfId="49" applyBorder="1" applyAlignment="1">
      <alignment horizontal="left" vertical="top"/>
    </xf>
    <xf numFmtId="0" fontId="4" fillId="0" borderId="0" xfId="49" applyAlignment="1">
      <alignment horizontal="left" vertical="top"/>
    </xf>
    <xf numFmtId="0" fontId="4" fillId="0" borderId="54" xfId="49" applyBorder="1" applyAlignment="1">
      <alignment horizontal="left" vertical="top"/>
    </xf>
    <xf numFmtId="0" fontId="4" fillId="0" borderId="46" xfId="49" applyBorder="1" applyAlignment="1">
      <alignment horizontal="left" vertical="top"/>
    </xf>
    <xf numFmtId="0" fontId="4" fillId="0" borderId="23" xfId="49" applyBorder="1" applyAlignment="1">
      <alignment horizontal="left" vertical="top"/>
    </xf>
    <xf numFmtId="0" fontId="4" fillId="0" borderId="47" xfId="49" applyBorder="1" applyAlignment="1">
      <alignment horizontal="left" vertical="top"/>
    </xf>
    <xf numFmtId="0" fontId="4" fillId="0" borderId="44" xfId="49" applyBorder="1" applyAlignment="1">
      <alignment horizontal="left" vertical="top" wrapText="1"/>
    </xf>
    <xf numFmtId="0" fontId="80" fillId="0" borderId="46" xfId="50" applyBorder="1" applyAlignment="1">
      <alignment horizontal="left"/>
    </xf>
    <xf numFmtId="0" fontId="80" fillId="0" borderId="23" xfId="50" applyBorder="1" applyAlignment="1">
      <alignment horizontal="left"/>
    </xf>
    <xf numFmtId="0" fontId="80" fillId="0" borderId="47" xfId="50" applyBorder="1" applyAlignment="1">
      <alignment horizontal="left"/>
    </xf>
    <xf numFmtId="0" fontId="76" fillId="0" borderId="0" xfId="49" applyFont="1" applyAlignment="1">
      <alignment horizontal="left" vertical="top" wrapText="1"/>
    </xf>
    <xf numFmtId="0" fontId="76" fillId="0" borderId="23" xfId="49" applyFont="1" applyBorder="1" applyAlignment="1">
      <alignment horizontal="left" vertical="top" wrapText="1"/>
    </xf>
    <xf numFmtId="0" fontId="92" fillId="0" borderId="0" xfId="51" applyFont="1" applyAlignment="1">
      <alignment horizontal="left" vertical="center" wrapText="1"/>
    </xf>
    <xf numFmtId="0" fontId="96" fillId="0" borderId="0" xfId="51" applyFont="1" applyAlignment="1">
      <alignment horizontal="center" vertical="center" wrapText="1"/>
    </xf>
    <xf numFmtId="0" fontId="100" fillId="0" borderId="0" xfId="51" applyFont="1" applyAlignment="1">
      <alignment horizontal="left" vertical="center" wrapText="1"/>
    </xf>
    <xf numFmtId="0" fontId="98" fillId="0" borderId="0" xfId="51" applyFont="1" applyAlignment="1">
      <alignment horizontal="left" vertical="center" wrapText="1"/>
    </xf>
    <xf numFmtId="0" fontId="0" fillId="0" borderId="0" xfId="0" applyAlignment="1">
      <alignment horizontal="center"/>
    </xf>
    <xf numFmtId="0" fontId="6" fillId="0" borderId="0" xfId="0" applyFont="1" applyAlignment="1">
      <alignment horizontal="left" wrapText="1"/>
    </xf>
    <xf numFmtId="0" fontId="0" fillId="0" borderId="0" xfId="0" applyAlignment="1">
      <alignment horizontal="left" wrapText="1"/>
    </xf>
    <xf numFmtId="0" fontId="5" fillId="0" borderId="0" xfId="0" applyFont="1" applyAlignment="1">
      <alignment horizontal="center"/>
    </xf>
    <xf numFmtId="0" fontId="20" fillId="0" borderId="31" xfId="41" applyFont="1" applyBorder="1" applyAlignment="1">
      <alignment horizontal="center"/>
    </xf>
    <xf numFmtId="0" fontId="20" fillId="0" borderId="35" xfId="41" applyFont="1" applyBorder="1" applyAlignment="1">
      <alignment horizontal="center"/>
    </xf>
    <xf numFmtId="0" fontId="20" fillId="0" borderId="32" xfId="41" applyFont="1" applyBorder="1" applyAlignment="1">
      <alignment horizontal="center"/>
    </xf>
    <xf numFmtId="0" fontId="22" fillId="0" borderId="44" xfId="41" applyFont="1" applyBorder="1" applyAlignment="1">
      <alignment horizontal="center" vertical="center"/>
    </xf>
    <xf numFmtId="0" fontId="22" fillId="0" borderId="26" xfId="41" applyFont="1" applyBorder="1" applyAlignment="1">
      <alignment horizontal="center" vertical="center"/>
    </xf>
    <xf numFmtId="0" fontId="22" fillId="0" borderId="45" xfId="41" applyFont="1" applyBorder="1" applyAlignment="1">
      <alignment horizontal="center" vertical="center"/>
    </xf>
    <xf numFmtId="0" fontId="22" fillId="0" borderId="46" xfId="41" applyFont="1" applyBorder="1" applyAlignment="1">
      <alignment horizontal="center" vertical="center"/>
    </xf>
    <xf numFmtId="0" fontId="22" fillId="0" borderId="23" xfId="41" applyFont="1" applyBorder="1" applyAlignment="1">
      <alignment horizontal="center" vertical="center"/>
    </xf>
    <xf numFmtId="0" fontId="22" fillId="0" borderId="47" xfId="41" applyFont="1" applyBorder="1" applyAlignment="1">
      <alignment horizontal="center" vertical="center"/>
    </xf>
    <xf numFmtId="0" fontId="20" fillId="29" borderId="0" xfId="41" applyFont="1" applyFill="1" applyAlignment="1">
      <alignment horizontal="left"/>
    </xf>
    <xf numFmtId="0" fontId="20" fillId="32" borderId="0" xfId="41" applyFont="1" applyFill="1" applyAlignment="1">
      <alignment horizontal="left"/>
    </xf>
    <xf numFmtId="0" fontId="20" fillId="32" borderId="23" xfId="41" applyFont="1" applyFill="1" applyBorder="1" applyAlignment="1">
      <alignment horizontal="left"/>
    </xf>
    <xf numFmtId="0" fontId="24" fillId="0" borderId="0" xfId="0" applyFont="1" applyAlignment="1">
      <alignment horizontal="center"/>
    </xf>
    <xf numFmtId="42" fontId="17" fillId="1" borderId="22" xfId="0" applyNumberFormat="1" applyFont="1" applyFill="1" applyBorder="1"/>
    <xf numFmtId="42" fontId="17" fillId="1" borderId="61" xfId="0" applyNumberFormat="1" applyFont="1" applyFill="1" applyBorder="1"/>
    <xf numFmtId="42" fontId="17" fillId="44" borderId="58" xfId="0" applyNumberFormat="1" applyFont="1" applyFill="1" applyBorder="1"/>
  </cellXfs>
  <cellStyles count="54">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urrency" xfId="47" builtinId="4"/>
    <cellStyle name="Currency 2" xfId="52" xr:uid="{00000000-0005-0000-0000-00001C000000}"/>
    <cellStyle name="Explanatory Text" xfId="28" builtinId="53" customBuiltin="1"/>
    <cellStyle name="Good" xfId="29" builtinId="26" customBuiltin="1"/>
    <cellStyle name="Heading 1" xfId="30" builtinId="16" customBuiltin="1"/>
    <cellStyle name="Heading 2" xfId="31" builtinId="17" customBuiltin="1"/>
    <cellStyle name="Heading 3" xfId="32" builtinId="18" customBuiltin="1"/>
    <cellStyle name="Heading 4" xfId="33" builtinId="19" customBuiltin="1"/>
    <cellStyle name="Hyperlink" xfId="34" builtinId="8"/>
    <cellStyle name="Hyperlink 2" xfId="50" xr:uid="{00000000-0005-0000-0000-000024000000}"/>
    <cellStyle name="Hyperlink 3" xfId="53" xr:uid="{00000000-0005-0000-0000-000025000000}"/>
    <cellStyle name="Input" xfId="35" builtinId="20" customBuiltin="1"/>
    <cellStyle name="Linked Cell" xfId="36" builtinId="24" customBuiltin="1"/>
    <cellStyle name="Neutral" xfId="37" builtinId="28" customBuiltin="1"/>
    <cellStyle name="Normal" xfId="0" builtinId="0"/>
    <cellStyle name="Normal 2" xfId="38" xr:uid="{00000000-0005-0000-0000-00002A000000}"/>
    <cellStyle name="Normal 3" xfId="49" xr:uid="{00000000-0005-0000-0000-00002B000000}"/>
    <cellStyle name="Normal 4" xfId="51" xr:uid="{00000000-0005-0000-0000-00002C000000}"/>
    <cellStyle name="Normal_Appendix C-Facility Rate Tables" xfId="39" xr:uid="{00000000-0005-0000-0000-00002D000000}"/>
    <cellStyle name="Normal_fringe_composite-15" xfId="40" xr:uid="{00000000-0005-0000-0000-00002E000000}"/>
    <cellStyle name="Normal_person_months_conversion_chart-4" xfId="41" xr:uid="{00000000-0005-0000-0000-00002F000000}"/>
    <cellStyle name="Note" xfId="42" builtinId="10" customBuiltin="1"/>
    <cellStyle name="Output" xfId="43" builtinId="21" customBuiltin="1"/>
    <cellStyle name="Percent" xfId="48" builtinId="5"/>
    <cellStyle name="Title" xfId="44" builtinId="15" customBuiltin="1"/>
    <cellStyle name="Total" xfId="45" builtinId="25" customBuiltin="1"/>
    <cellStyle name="Warning Text" xfId="46" builtinId="11" customBuiltin="1"/>
  </cellStyles>
  <dxfs count="32">
    <dxf>
      <numFmt numFmtId="19" formatCode="m/d/yyyy"/>
    </dxf>
    <dxf>
      <font>
        <color theme="1"/>
      </font>
      <fill>
        <patternFill>
          <bgColor theme="0" tint="-4.9989318521683403E-2"/>
        </patternFill>
      </fill>
      <border>
        <left style="thin">
          <color auto="1"/>
        </left>
        <right style="thin">
          <color auto="1"/>
        </right>
        <top style="thin">
          <color auto="1"/>
        </top>
        <bottom style="thin">
          <color auto="1"/>
        </bottom>
      </border>
    </dxf>
    <dxf>
      <font>
        <b/>
        <i val="0"/>
        <strike val="0"/>
        <color auto="1"/>
      </font>
      <fill>
        <patternFill>
          <bgColor theme="7" tint="0.79998168889431442"/>
        </patternFill>
      </fill>
      <border>
        <left style="thin">
          <color auto="1"/>
        </left>
        <right style="thin">
          <color auto="1"/>
        </right>
        <top style="thin">
          <color auto="1"/>
        </top>
        <bottom style="thin">
          <color auto="1"/>
        </bottom>
        <vertical/>
        <horizontal/>
      </border>
    </dxf>
    <dxf>
      <font>
        <color theme="1"/>
      </font>
      <fill>
        <patternFill>
          <bgColor theme="0" tint="-4.9989318521683403E-2"/>
        </patternFill>
      </fill>
      <border>
        <left style="thin">
          <color auto="1"/>
        </left>
        <right style="thin">
          <color auto="1"/>
        </right>
        <top style="thin">
          <color auto="1"/>
        </top>
        <bottom style="thin">
          <color auto="1"/>
        </bottom>
      </border>
    </dxf>
    <dxf>
      <font>
        <b/>
        <i val="0"/>
      </font>
      <fill>
        <patternFill>
          <bgColor theme="0"/>
        </patternFill>
      </fill>
      <border>
        <left style="thin">
          <color rgb="FF0000FF"/>
        </left>
        <right style="thin">
          <color rgb="FF0000FF"/>
        </right>
        <top style="thin">
          <color rgb="FF0000FF"/>
        </top>
        <bottom style="thin">
          <color rgb="FF0000FF"/>
        </bottom>
        <vertical/>
        <horizontal/>
      </border>
    </dxf>
    <dxf>
      <font>
        <color theme="0" tint="-4.9989318521683403E-2"/>
      </font>
    </dxf>
    <dxf>
      <font>
        <color rgb="FFFF0000"/>
      </font>
    </dxf>
    <dxf>
      <font>
        <color auto="1"/>
      </font>
      <fill>
        <patternFill>
          <bgColor theme="0" tint="-4.9989318521683403E-2"/>
        </patternFill>
      </fill>
      <border>
        <left style="thin">
          <color auto="1"/>
        </left>
        <right style="thin">
          <color auto="1"/>
        </right>
        <top style="thin">
          <color auto="1"/>
        </top>
        <bottom style="thin">
          <color auto="1"/>
        </bottom>
        <vertical/>
        <horizontal/>
      </border>
    </dxf>
    <dxf>
      <font>
        <b/>
        <i val="0"/>
        <color auto="1"/>
      </font>
      <fill>
        <patternFill>
          <bgColor theme="7" tint="0.79998168889431442"/>
        </patternFill>
      </fill>
      <border>
        <left style="thin">
          <color auto="1"/>
        </left>
        <right style="thin">
          <color auto="1"/>
        </right>
        <top style="thin">
          <color auto="1"/>
        </top>
        <bottom style="thin">
          <color auto="1"/>
        </bottom>
        <vertical/>
        <horizontal/>
      </border>
    </dxf>
    <dxf>
      <font>
        <color auto="1"/>
      </font>
      <fill>
        <patternFill>
          <bgColor theme="0" tint="-4.9989318521683403E-2"/>
        </patternFill>
      </fill>
      <border>
        <left style="thin">
          <color auto="1"/>
        </left>
        <right style="thin">
          <color auto="1"/>
        </right>
        <top style="thin">
          <color auto="1"/>
        </top>
        <bottom style="thin">
          <color auto="1"/>
        </bottom>
        <vertical/>
        <horizontal/>
      </border>
    </dxf>
    <dxf>
      <font>
        <b/>
        <i val="0"/>
      </font>
      <fill>
        <patternFill>
          <bgColor theme="0"/>
        </patternFill>
      </fill>
      <border>
        <left style="thin">
          <color rgb="FF0000FF"/>
        </left>
        <right style="thin">
          <color rgb="FF0000FF"/>
        </right>
        <top style="thin">
          <color rgb="FF0000FF"/>
        </top>
        <bottom style="thin">
          <color rgb="FF0000FF"/>
        </bottom>
        <vertical/>
        <horizontal/>
      </border>
    </dxf>
    <dxf>
      <font>
        <color theme="0" tint="-4.9989318521683403E-2"/>
      </font>
    </dxf>
    <dxf>
      <font>
        <color rgb="FFFF0000"/>
      </font>
    </dxf>
    <dxf>
      <font>
        <color theme="1"/>
      </font>
      <fill>
        <patternFill>
          <bgColor theme="0" tint="-4.9989318521683403E-2"/>
        </patternFill>
      </fill>
      <border>
        <left style="thin">
          <color auto="1"/>
        </left>
        <right style="thin">
          <color auto="1"/>
        </right>
        <top style="thin">
          <color auto="1"/>
        </top>
        <bottom style="thin">
          <color auto="1"/>
        </bottom>
      </border>
    </dxf>
    <dxf>
      <font>
        <b/>
        <i val="0"/>
        <color theme="1"/>
      </font>
      <fill>
        <patternFill>
          <bgColor theme="7" tint="0.79998168889431442"/>
        </patternFill>
      </fill>
      <border>
        <left style="thin">
          <color auto="1"/>
        </left>
        <right style="thin">
          <color auto="1"/>
        </right>
        <top style="thin">
          <color auto="1"/>
        </top>
        <bottom style="thin">
          <color auto="1"/>
        </bottom>
        <vertical/>
        <horizontal/>
      </border>
    </dxf>
    <dxf>
      <font>
        <color theme="1"/>
      </font>
      <fill>
        <patternFill>
          <bgColor theme="0" tint="-4.9989318521683403E-2"/>
        </patternFill>
      </fill>
      <border>
        <left style="thin">
          <color auto="1"/>
        </left>
        <right style="thin">
          <color auto="1"/>
        </right>
        <top style="thin">
          <color auto="1"/>
        </top>
        <bottom style="thin">
          <color auto="1"/>
        </bottom>
      </border>
    </dxf>
    <dxf>
      <font>
        <b/>
        <i val="0"/>
      </font>
      <fill>
        <patternFill>
          <bgColor theme="0"/>
        </patternFill>
      </fill>
      <border>
        <left style="thin">
          <color rgb="FF0000FF"/>
        </left>
        <right style="thin">
          <color rgb="FF0000FF"/>
        </right>
        <top style="thin">
          <color rgb="FF0000FF"/>
        </top>
        <bottom style="thin">
          <color rgb="FF0000FF"/>
        </bottom>
        <vertical/>
        <horizontal/>
      </border>
    </dxf>
    <dxf>
      <font>
        <color theme="0" tint="-4.9989318521683403E-2"/>
      </font>
    </dxf>
    <dxf>
      <font>
        <color rgb="FFFF0000"/>
      </font>
    </dxf>
    <dxf>
      <font>
        <color theme="1"/>
      </font>
      <fill>
        <patternFill>
          <bgColor theme="0" tint="-4.9989318521683403E-2"/>
        </patternFill>
      </fill>
      <border>
        <left style="thin">
          <color auto="1"/>
        </left>
        <right style="thin">
          <color auto="1"/>
        </right>
        <top style="thin">
          <color auto="1"/>
        </top>
        <bottom style="thin">
          <color auto="1"/>
        </bottom>
      </border>
    </dxf>
    <dxf>
      <font>
        <b/>
        <i val="0"/>
        <color theme="1"/>
      </font>
      <fill>
        <patternFill>
          <bgColor theme="7" tint="0.79998168889431442"/>
        </patternFill>
      </fill>
      <border>
        <left style="thin">
          <color auto="1"/>
        </left>
        <right style="thin">
          <color auto="1"/>
        </right>
        <top style="thin">
          <color auto="1"/>
        </top>
        <bottom style="thin">
          <color auto="1"/>
        </bottom>
        <vertical/>
        <horizontal/>
      </border>
    </dxf>
    <dxf>
      <font>
        <color theme="1"/>
      </font>
      <fill>
        <patternFill>
          <bgColor theme="0" tint="-4.9989318521683403E-2"/>
        </patternFill>
      </fill>
      <border>
        <left style="thin">
          <color auto="1"/>
        </left>
        <right style="thin">
          <color auto="1"/>
        </right>
        <top style="thin">
          <color auto="1"/>
        </top>
        <bottom style="thin">
          <color auto="1"/>
        </bottom>
      </border>
    </dxf>
    <dxf>
      <font>
        <b/>
        <i val="0"/>
      </font>
      <fill>
        <patternFill>
          <bgColor theme="0"/>
        </patternFill>
      </fill>
      <border>
        <left style="thin">
          <color rgb="FF0000FF"/>
        </left>
        <right style="thin">
          <color rgb="FF0000FF"/>
        </right>
        <top style="thin">
          <color rgb="FF0000FF"/>
        </top>
        <bottom style="thin">
          <color rgb="FF0000FF"/>
        </bottom>
        <vertical/>
        <horizontal/>
      </border>
    </dxf>
    <dxf>
      <font>
        <color theme="0" tint="-4.9989318521683403E-2"/>
      </font>
    </dxf>
    <dxf>
      <font>
        <color rgb="FFFF0000"/>
      </font>
    </dxf>
    <dxf>
      <font>
        <color theme="1"/>
      </font>
      <fill>
        <patternFill>
          <bgColor theme="0" tint="-4.9989318521683403E-2"/>
        </patternFill>
      </fill>
      <border>
        <left style="thin">
          <color auto="1"/>
        </left>
        <right style="thin">
          <color auto="1"/>
        </right>
        <top style="thin">
          <color auto="1"/>
        </top>
        <bottom style="thin">
          <color auto="1"/>
        </bottom>
      </border>
    </dxf>
    <dxf>
      <font>
        <b/>
        <i val="0"/>
        <color theme="1"/>
      </font>
      <fill>
        <patternFill>
          <bgColor theme="7" tint="0.79998168889431442"/>
        </patternFill>
      </fill>
      <border>
        <left style="thin">
          <color auto="1"/>
        </left>
        <right style="thin">
          <color auto="1"/>
        </right>
        <top style="thin">
          <color auto="1"/>
        </top>
        <bottom style="thin">
          <color auto="1"/>
        </bottom>
        <vertical/>
        <horizontal/>
      </border>
    </dxf>
    <dxf>
      <font>
        <color rgb="FFFF0000"/>
      </font>
    </dxf>
    <dxf>
      <font>
        <color theme="1"/>
      </font>
      <fill>
        <patternFill>
          <bgColor theme="0" tint="-4.9989318521683403E-2"/>
        </patternFill>
      </fill>
      <border>
        <left style="thin">
          <color auto="1"/>
        </left>
        <right style="thin">
          <color auto="1"/>
        </right>
        <top style="thin">
          <color auto="1"/>
        </top>
        <bottom style="thin">
          <color auto="1"/>
        </bottom>
      </border>
    </dxf>
    <dxf>
      <font>
        <b/>
        <i val="0"/>
      </font>
      <fill>
        <patternFill>
          <bgColor theme="0"/>
        </patternFill>
      </fill>
      <border>
        <left style="thin">
          <color rgb="FF0000FF"/>
        </left>
        <right style="thin">
          <color rgb="FF0000FF"/>
        </right>
        <top style="thin">
          <color rgb="FF0000FF"/>
        </top>
        <bottom style="thin">
          <color rgb="FF0000FF"/>
        </bottom>
        <vertical/>
        <horizontal/>
      </border>
    </dxf>
    <dxf>
      <font>
        <color theme="0" tint="-4.9989318521683403E-2"/>
      </font>
    </dxf>
    <dxf>
      <font>
        <color rgb="FFFF0000"/>
      </font>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FFFFCC"/>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microsoft.com/office/2017/10/relationships/person" Target="persons/person.xml"/><Relationship Id="rId3" Type="http://schemas.openxmlformats.org/officeDocument/2006/relationships/worksheet" Target="worksheets/sheet3.xml"/><Relationship Id="rId21" Type="http://schemas.openxmlformats.org/officeDocument/2006/relationships/externalLink" Target="externalLinks/externalLink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externalLink" Target="externalLinks/externalLink1.xml"/><Relationship Id="rId29"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28"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3.xml"/><Relationship Id="rId27" Type="http://schemas.openxmlformats.org/officeDocument/2006/relationships/calcChain" Target="calcChain.xml"/><Relationship Id="rId30" Type="http://schemas.openxmlformats.org/officeDocument/2006/relationships/customXml" Target="../customXml/item3.xml"/></Relationships>
</file>

<file path=xl/externalLinks/_rels/externalLink1.xml.rels><?xml version="1.0" encoding="UTF-8" standalone="yes"?>
<Relationships xmlns="http://schemas.openxmlformats.org/package/2006/relationships"><Relationship Id="rId1" Type="http://schemas.microsoft.com/office/2006/relationships/xlExternalLinkPath/xlPathMissing" Target="Budget_Template-current2"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Budget_Template_CS_9.23.xlsx" TargetMode="External"/></Relationships>
</file>

<file path=xl/externalLinks/_rels/externalLink3.xml.rels><?xml version="1.0" encoding="UTF-8" standalone="yes"?>
<Relationships xmlns="http://schemas.openxmlformats.org/package/2006/relationships"><Relationship Id="rId1" Type="http://schemas.microsoft.com/office/2006/relationships/xlExternalLinkPath/xlPathMissing" Target="Budget_Template-Travel.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of All Budget Periods"/>
      <sheetName val="Cost Share Summary"/>
      <sheetName val="BP1"/>
      <sheetName val="BP2"/>
      <sheetName val="BP3"/>
      <sheetName val="BP4"/>
      <sheetName val="BP5"/>
      <sheetName val="Cumulative Budget"/>
      <sheetName val="Budget Justification"/>
      <sheetName val="Subaward Calculator"/>
      <sheetName val="Travel Calculator"/>
      <sheetName val="Questionnaire - WIP"/>
      <sheetName val="Lists"/>
      <sheetName val="Appendix A-Boilerplate Language"/>
      <sheetName val="Appendix B-Effort Calculator"/>
      <sheetName val="Appendix C-Grants.gov Form Info"/>
      <sheetName val="Appendix D-Facility Rate Tables"/>
      <sheetName val="appendix E - Change Log"/>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ow r="1">
          <cell r="A1" t="str">
            <v>StartDateList</v>
          </cell>
        </row>
        <row r="2">
          <cell r="A2">
            <v>37499</v>
          </cell>
        </row>
        <row r="3">
          <cell r="A3">
            <v>37529</v>
          </cell>
        </row>
        <row r="4">
          <cell r="A4">
            <v>37560</v>
          </cell>
        </row>
        <row r="5">
          <cell r="A5">
            <v>37590</v>
          </cell>
        </row>
        <row r="6">
          <cell r="A6">
            <v>37621</v>
          </cell>
        </row>
        <row r="7">
          <cell r="A7">
            <v>37652</v>
          </cell>
        </row>
        <row r="8">
          <cell r="A8">
            <v>37680</v>
          </cell>
        </row>
        <row r="9">
          <cell r="A9">
            <v>37711</v>
          </cell>
        </row>
        <row r="10">
          <cell r="A10">
            <v>37741</v>
          </cell>
        </row>
        <row r="11">
          <cell r="A11">
            <v>37772</v>
          </cell>
        </row>
        <row r="12">
          <cell r="A12">
            <v>37802</v>
          </cell>
        </row>
        <row r="13">
          <cell r="A13">
            <v>37833</v>
          </cell>
        </row>
        <row r="14">
          <cell r="A14">
            <v>37864</v>
          </cell>
        </row>
        <row r="15">
          <cell r="A15">
            <v>37894</v>
          </cell>
        </row>
        <row r="16">
          <cell r="A16">
            <v>37925</v>
          </cell>
        </row>
        <row r="17">
          <cell r="A17">
            <v>37955</v>
          </cell>
        </row>
        <row r="18">
          <cell r="A18">
            <v>37986</v>
          </cell>
        </row>
        <row r="19">
          <cell r="A19">
            <v>38017</v>
          </cell>
        </row>
        <row r="20">
          <cell r="A20">
            <v>38046</v>
          </cell>
        </row>
        <row r="21">
          <cell r="A21">
            <v>38077</v>
          </cell>
        </row>
        <row r="22">
          <cell r="A22">
            <v>38107</v>
          </cell>
        </row>
        <row r="23">
          <cell r="A23">
            <v>38138</v>
          </cell>
        </row>
        <row r="24">
          <cell r="A24">
            <v>38168</v>
          </cell>
        </row>
        <row r="25">
          <cell r="A25">
            <v>38199</v>
          </cell>
        </row>
        <row r="26">
          <cell r="A26">
            <v>38230</v>
          </cell>
        </row>
        <row r="27">
          <cell r="A27">
            <v>38260</v>
          </cell>
        </row>
        <row r="28">
          <cell r="A28">
            <v>38291</v>
          </cell>
        </row>
        <row r="29">
          <cell r="A29">
            <v>38321</v>
          </cell>
        </row>
        <row r="30">
          <cell r="A30">
            <v>38352</v>
          </cell>
        </row>
        <row r="31">
          <cell r="A31">
            <v>38383</v>
          </cell>
        </row>
        <row r="32">
          <cell r="A32">
            <v>38411</v>
          </cell>
        </row>
        <row r="33">
          <cell r="A33">
            <v>38442</v>
          </cell>
        </row>
        <row r="34">
          <cell r="A34">
            <v>38472</v>
          </cell>
        </row>
        <row r="35">
          <cell r="A35">
            <v>38503</v>
          </cell>
        </row>
        <row r="36">
          <cell r="A36">
            <v>38533</v>
          </cell>
        </row>
        <row r="37">
          <cell r="A37">
            <v>38564</v>
          </cell>
        </row>
        <row r="38">
          <cell r="A38">
            <v>38595</v>
          </cell>
        </row>
        <row r="39">
          <cell r="A39">
            <v>38625</v>
          </cell>
        </row>
        <row r="40">
          <cell r="A40">
            <v>38656</v>
          </cell>
        </row>
        <row r="41">
          <cell r="A41">
            <v>38686</v>
          </cell>
        </row>
        <row r="42">
          <cell r="A42">
            <v>38717</v>
          </cell>
        </row>
        <row r="43">
          <cell r="A43">
            <v>38748</v>
          </cell>
        </row>
        <row r="44">
          <cell r="A44">
            <v>38776</v>
          </cell>
        </row>
        <row r="45">
          <cell r="A45">
            <v>38807</v>
          </cell>
        </row>
        <row r="46">
          <cell r="A46">
            <v>38837</v>
          </cell>
        </row>
        <row r="47">
          <cell r="A47">
            <v>38868</v>
          </cell>
        </row>
        <row r="48">
          <cell r="A48">
            <v>38898</v>
          </cell>
        </row>
        <row r="49">
          <cell r="A49">
            <v>38929</v>
          </cell>
        </row>
        <row r="50">
          <cell r="A50">
            <v>38960</v>
          </cell>
        </row>
        <row r="51">
          <cell r="A51">
            <v>38990</v>
          </cell>
        </row>
        <row r="52">
          <cell r="A52">
            <v>39021</v>
          </cell>
        </row>
        <row r="53">
          <cell r="A53">
            <v>39051</v>
          </cell>
        </row>
        <row r="54">
          <cell r="A54">
            <v>39082</v>
          </cell>
        </row>
        <row r="55">
          <cell r="A55">
            <v>39113</v>
          </cell>
        </row>
        <row r="56">
          <cell r="A56">
            <v>39141</v>
          </cell>
        </row>
        <row r="57">
          <cell r="A57">
            <v>39172</v>
          </cell>
        </row>
        <row r="58">
          <cell r="A58">
            <v>39202</v>
          </cell>
        </row>
        <row r="59">
          <cell r="A59">
            <v>39233</v>
          </cell>
        </row>
        <row r="60">
          <cell r="A60">
            <v>39263</v>
          </cell>
        </row>
        <row r="61">
          <cell r="A61">
            <v>39294</v>
          </cell>
        </row>
        <row r="62">
          <cell r="A62">
            <v>39325</v>
          </cell>
        </row>
        <row r="63">
          <cell r="A63">
            <v>39355</v>
          </cell>
        </row>
        <row r="64">
          <cell r="A64">
            <v>39386</v>
          </cell>
        </row>
        <row r="65">
          <cell r="A65">
            <v>39416</v>
          </cell>
        </row>
        <row r="66">
          <cell r="A66">
            <v>39447</v>
          </cell>
        </row>
        <row r="67">
          <cell r="A67">
            <v>39478</v>
          </cell>
        </row>
        <row r="68">
          <cell r="A68">
            <v>39507</v>
          </cell>
        </row>
        <row r="69">
          <cell r="A69">
            <v>39538</v>
          </cell>
        </row>
        <row r="70">
          <cell r="A70">
            <v>39568</v>
          </cell>
        </row>
        <row r="71">
          <cell r="A71">
            <v>39599</v>
          </cell>
        </row>
        <row r="72">
          <cell r="A72">
            <v>39629</v>
          </cell>
        </row>
        <row r="73">
          <cell r="A73">
            <v>39660</v>
          </cell>
        </row>
        <row r="74">
          <cell r="A74">
            <v>39691</v>
          </cell>
        </row>
        <row r="75">
          <cell r="A75">
            <v>39721</v>
          </cell>
        </row>
        <row r="76">
          <cell r="A76">
            <v>39752</v>
          </cell>
        </row>
        <row r="77">
          <cell r="A77">
            <v>39782</v>
          </cell>
        </row>
        <row r="78">
          <cell r="A78">
            <v>39813</v>
          </cell>
        </row>
        <row r="79">
          <cell r="A79">
            <v>39844</v>
          </cell>
        </row>
        <row r="80">
          <cell r="A80">
            <v>39872</v>
          </cell>
        </row>
        <row r="81">
          <cell r="A81">
            <v>39903</v>
          </cell>
        </row>
        <row r="82">
          <cell r="A82">
            <v>39933</v>
          </cell>
        </row>
        <row r="83">
          <cell r="A83">
            <v>39964</v>
          </cell>
        </row>
        <row r="84">
          <cell r="A84">
            <v>39994</v>
          </cell>
        </row>
        <row r="85">
          <cell r="A85">
            <v>40025</v>
          </cell>
        </row>
        <row r="86">
          <cell r="A86">
            <v>40056</v>
          </cell>
        </row>
        <row r="87">
          <cell r="A87">
            <v>40086</v>
          </cell>
        </row>
        <row r="88">
          <cell r="A88">
            <v>40117</v>
          </cell>
        </row>
        <row r="89">
          <cell r="A89">
            <v>40147</v>
          </cell>
        </row>
        <row r="90">
          <cell r="A90">
            <v>40178</v>
          </cell>
        </row>
        <row r="91">
          <cell r="A91">
            <v>40209</v>
          </cell>
        </row>
        <row r="92">
          <cell r="A92">
            <v>40237</v>
          </cell>
        </row>
        <row r="93">
          <cell r="A93">
            <v>40268</v>
          </cell>
        </row>
        <row r="94">
          <cell r="A94">
            <v>40298</v>
          </cell>
        </row>
        <row r="95">
          <cell r="A95">
            <v>40329</v>
          </cell>
        </row>
        <row r="96">
          <cell r="A96">
            <v>40359</v>
          </cell>
        </row>
        <row r="97">
          <cell r="A97">
            <v>40390</v>
          </cell>
        </row>
        <row r="98">
          <cell r="A98">
            <v>40421</v>
          </cell>
        </row>
        <row r="99">
          <cell r="A99">
            <v>40451</v>
          </cell>
        </row>
        <row r="100">
          <cell r="A100">
            <v>40482</v>
          </cell>
        </row>
        <row r="101">
          <cell r="A101">
            <v>40512</v>
          </cell>
        </row>
        <row r="102">
          <cell r="A102">
            <v>40543</v>
          </cell>
        </row>
        <row r="103">
          <cell r="A103">
            <v>40574</v>
          </cell>
        </row>
        <row r="104">
          <cell r="A104">
            <v>40602</v>
          </cell>
        </row>
        <row r="105">
          <cell r="A105">
            <v>40633</v>
          </cell>
        </row>
        <row r="106">
          <cell r="A106">
            <v>40663</v>
          </cell>
        </row>
        <row r="107">
          <cell r="A107">
            <v>40694</v>
          </cell>
        </row>
        <row r="108">
          <cell r="A108">
            <v>40724</v>
          </cell>
        </row>
        <row r="109">
          <cell r="A109">
            <v>40755</v>
          </cell>
        </row>
        <row r="110">
          <cell r="A110">
            <v>40786</v>
          </cell>
        </row>
        <row r="111">
          <cell r="A111">
            <v>40816</v>
          </cell>
        </row>
        <row r="112">
          <cell r="A112">
            <v>40847</v>
          </cell>
        </row>
        <row r="113">
          <cell r="A113">
            <v>40877</v>
          </cell>
        </row>
        <row r="114">
          <cell r="A114">
            <v>40908</v>
          </cell>
        </row>
        <row r="115">
          <cell r="A115">
            <v>40939</v>
          </cell>
        </row>
        <row r="116">
          <cell r="A116">
            <v>40968</v>
          </cell>
        </row>
        <row r="117">
          <cell r="A117">
            <v>40999</v>
          </cell>
        </row>
        <row r="118">
          <cell r="A118">
            <v>41029</v>
          </cell>
        </row>
        <row r="119">
          <cell r="A119">
            <v>41060</v>
          </cell>
        </row>
        <row r="120">
          <cell r="A120">
            <v>41090</v>
          </cell>
        </row>
        <row r="121">
          <cell r="A121">
            <v>41121</v>
          </cell>
        </row>
        <row r="122">
          <cell r="A122">
            <v>41152</v>
          </cell>
        </row>
        <row r="123">
          <cell r="A123">
            <v>41182</v>
          </cell>
        </row>
        <row r="124">
          <cell r="A124">
            <v>41213</v>
          </cell>
        </row>
        <row r="125">
          <cell r="A125">
            <v>41243</v>
          </cell>
        </row>
        <row r="126">
          <cell r="A126">
            <v>41274</v>
          </cell>
        </row>
        <row r="127">
          <cell r="A127">
            <v>41305</v>
          </cell>
        </row>
        <row r="128">
          <cell r="A128">
            <v>41333</v>
          </cell>
        </row>
        <row r="129">
          <cell r="A129">
            <v>41364</v>
          </cell>
        </row>
        <row r="130">
          <cell r="A130">
            <v>41394</v>
          </cell>
        </row>
        <row r="131">
          <cell r="A131">
            <v>41425</v>
          </cell>
        </row>
        <row r="132">
          <cell r="A132">
            <v>41455</v>
          </cell>
        </row>
        <row r="133">
          <cell r="A133">
            <v>41486</v>
          </cell>
        </row>
        <row r="134">
          <cell r="A134">
            <v>41517</v>
          </cell>
        </row>
        <row r="135">
          <cell r="A135">
            <v>41547</v>
          </cell>
        </row>
        <row r="136">
          <cell r="A136">
            <v>41578</v>
          </cell>
        </row>
        <row r="137">
          <cell r="A137">
            <v>41608</v>
          </cell>
        </row>
        <row r="138">
          <cell r="A138">
            <v>41639</v>
          </cell>
        </row>
        <row r="139">
          <cell r="A139">
            <v>41670</v>
          </cell>
        </row>
        <row r="140">
          <cell r="A140">
            <v>41698</v>
          </cell>
        </row>
        <row r="141">
          <cell r="A141">
            <v>41729</v>
          </cell>
        </row>
        <row r="142">
          <cell r="A142">
            <v>41759</v>
          </cell>
        </row>
        <row r="143">
          <cell r="A143">
            <v>41790</v>
          </cell>
        </row>
        <row r="144">
          <cell r="A144">
            <v>41820</v>
          </cell>
        </row>
        <row r="145">
          <cell r="A145">
            <v>41851</v>
          </cell>
        </row>
        <row r="146">
          <cell r="A146">
            <v>41882</v>
          </cell>
        </row>
        <row r="147">
          <cell r="A147">
            <v>41912</v>
          </cell>
        </row>
        <row r="148">
          <cell r="A148">
            <v>41943</v>
          </cell>
        </row>
        <row r="149">
          <cell r="A149">
            <v>41973</v>
          </cell>
        </row>
        <row r="150">
          <cell r="A150">
            <v>42004</v>
          </cell>
        </row>
        <row r="151">
          <cell r="A151">
            <v>42035</v>
          </cell>
        </row>
        <row r="152">
          <cell r="A152">
            <v>42063</v>
          </cell>
        </row>
        <row r="153">
          <cell r="A153">
            <v>42094</v>
          </cell>
        </row>
        <row r="154">
          <cell r="A154">
            <v>42124</v>
          </cell>
        </row>
        <row r="155">
          <cell r="A155">
            <v>42155</v>
          </cell>
        </row>
        <row r="156">
          <cell r="A156">
            <v>42185</v>
          </cell>
        </row>
        <row r="157">
          <cell r="A157">
            <v>42216</v>
          </cell>
        </row>
        <row r="158">
          <cell r="A158">
            <v>42247</v>
          </cell>
        </row>
        <row r="159">
          <cell r="A159">
            <v>42277</v>
          </cell>
        </row>
        <row r="160">
          <cell r="A160">
            <v>42308</v>
          </cell>
        </row>
        <row r="161">
          <cell r="A161">
            <v>42338</v>
          </cell>
        </row>
        <row r="162">
          <cell r="A162">
            <v>42369</v>
          </cell>
        </row>
        <row r="163">
          <cell r="A163">
            <v>42400</v>
          </cell>
        </row>
        <row r="164">
          <cell r="A164">
            <v>42429</v>
          </cell>
        </row>
        <row r="165">
          <cell r="A165">
            <v>42460</v>
          </cell>
        </row>
        <row r="166">
          <cell r="A166">
            <v>42490</v>
          </cell>
        </row>
        <row r="167">
          <cell r="A167">
            <v>42521</v>
          </cell>
        </row>
        <row r="168">
          <cell r="A168">
            <v>42551</v>
          </cell>
        </row>
        <row r="169">
          <cell r="A169">
            <v>42582</v>
          </cell>
        </row>
        <row r="170">
          <cell r="A170">
            <v>42613</v>
          </cell>
        </row>
        <row r="171">
          <cell r="A171">
            <v>42643</v>
          </cell>
        </row>
        <row r="172">
          <cell r="A172">
            <v>42674</v>
          </cell>
        </row>
        <row r="173">
          <cell r="A173">
            <v>42704</v>
          </cell>
        </row>
        <row r="174">
          <cell r="A174">
            <v>42735</v>
          </cell>
        </row>
        <row r="175">
          <cell r="A175">
            <v>42766</v>
          </cell>
        </row>
        <row r="176">
          <cell r="A176">
            <v>42794</v>
          </cell>
        </row>
        <row r="177">
          <cell r="A177">
            <v>42825</v>
          </cell>
        </row>
        <row r="178">
          <cell r="A178">
            <v>42855</v>
          </cell>
        </row>
        <row r="179">
          <cell r="A179">
            <v>42886</v>
          </cell>
        </row>
        <row r="180">
          <cell r="A180">
            <v>42916</v>
          </cell>
        </row>
        <row r="181">
          <cell r="A181">
            <v>42947</v>
          </cell>
        </row>
        <row r="182">
          <cell r="A182">
            <v>42978</v>
          </cell>
        </row>
        <row r="183">
          <cell r="A183">
            <v>43008</v>
          </cell>
        </row>
        <row r="184">
          <cell r="A184">
            <v>43039</v>
          </cell>
        </row>
        <row r="185">
          <cell r="A185">
            <v>43069</v>
          </cell>
        </row>
        <row r="186">
          <cell r="A186">
            <v>43100</v>
          </cell>
        </row>
        <row r="187">
          <cell r="A187">
            <v>43131</v>
          </cell>
        </row>
        <row r="188">
          <cell r="A188">
            <v>43159</v>
          </cell>
        </row>
        <row r="189">
          <cell r="A189">
            <v>43190</v>
          </cell>
        </row>
        <row r="190">
          <cell r="A190">
            <v>43220</v>
          </cell>
        </row>
        <row r="191">
          <cell r="A191">
            <v>43251</v>
          </cell>
        </row>
        <row r="192">
          <cell r="A192">
            <v>43281</v>
          </cell>
        </row>
        <row r="193">
          <cell r="A193">
            <v>43312</v>
          </cell>
        </row>
        <row r="194">
          <cell r="A194">
            <v>43343</v>
          </cell>
        </row>
        <row r="195">
          <cell r="A195">
            <v>43373</v>
          </cell>
        </row>
        <row r="196">
          <cell r="A196">
            <v>43404</v>
          </cell>
        </row>
        <row r="197">
          <cell r="A197">
            <v>43434</v>
          </cell>
        </row>
        <row r="198">
          <cell r="A198">
            <v>43465</v>
          </cell>
        </row>
        <row r="199">
          <cell r="A199">
            <v>43496</v>
          </cell>
        </row>
        <row r="200">
          <cell r="A200">
            <v>43524</v>
          </cell>
        </row>
        <row r="201">
          <cell r="A201">
            <v>43555</v>
          </cell>
        </row>
        <row r="202">
          <cell r="A202">
            <v>43585</v>
          </cell>
        </row>
        <row r="203">
          <cell r="A203">
            <v>43616</v>
          </cell>
        </row>
        <row r="204">
          <cell r="A204">
            <v>43646</v>
          </cell>
        </row>
        <row r="205">
          <cell r="A205">
            <v>43677</v>
          </cell>
        </row>
        <row r="206">
          <cell r="A206">
            <v>43708</v>
          </cell>
        </row>
        <row r="207">
          <cell r="A207">
            <v>43738</v>
          </cell>
        </row>
        <row r="208">
          <cell r="A208">
            <v>43769</v>
          </cell>
        </row>
        <row r="209">
          <cell r="A209">
            <v>43799</v>
          </cell>
        </row>
        <row r="210">
          <cell r="A210">
            <v>43830</v>
          </cell>
        </row>
        <row r="211">
          <cell r="A211">
            <v>43861</v>
          </cell>
        </row>
        <row r="212">
          <cell r="A212">
            <v>43890</v>
          </cell>
        </row>
        <row r="213">
          <cell r="A213">
            <v>43921</v>
          </cell>
        </row>
        <row r="214">
          <cell r="A214">
            <v>43951</v>
          </cell>
        </row>
        <row r="215">
          <cell r="A215">
            <v>43982</v>
          </cell>
        </row>
        <row r="216">
          <cell r="A216">
            <v>44012</v>
          </cell>
        </row>
        <row r="217">
          <cell r="A217">
            <v>44043</v>
          </cell>
        </row>
        <row r="218">
          <cell r="A218">
            <v>44074</v>
          </cell>
        </row>
        <row r="219">
          <cell r="A219">
            <v>44104</v>
          </cell>
        </row>
        <row r="220">
          <cell r="A220">
            <v>44135</v>
          </cell>
        </row>
        <row r="221">
          <cell r="A221">
            <v>44165</v>
          </cell>
        </row>
        <row r="222">
          <cell r="A222">
            <v>44196</v>
          </cell>
        </row>
        <row r="223">
          <cell r="A223">
            <v>44227</v>
          </cell>
        </row>
        <row r="224">
          <cell r="A224">
            <v>44255</v>
          </cell>
        </row>
        <row r="225">
          <cell r="A225">
            <v>44286</v>
          </cell>
        </row>
        <row r="226">
          <cell r="A226">
            <v>44316</v>
          </cell>
        </row>
        <row r="227">
          <cell r="A227">
            <v>44347</v>
          </cell>
        </row>
        <row r="228">
          <cell r="A228">
            <v>44377</v>
          </cell>
        </row>
        <row r="229">
          <cell r="A229">
            <v>44408</v>
          </cell>
        </row>
        <row r="230">
          <cell r="A230">
            <v>44439</v>
          </cell>
        </row>
        <row r="231">
          <cell r="A231">
            <v>44469</v>
          </cell>
        </row>
        <row r="232">
          <cell r="A232">
            <v>44500</v>
          </cell>
        </row>
        <row r="233">
          <cell r="A233">
            <v>44530</v>
          </cell>
        </row>
        <row r="234">
          <cell r="A234">
            <v>44561</v>
          </cell>
        </row>
        <row r="235">
          <cell r="A235">
            <v>44592</v>
          </cell>
        </row>
        <row r="236">
          <cell r="A236">
            <v>44620</v>
          </cell>
        </row>
        <row r="237">
          <cell r="A237">
            <v>44651</v>
          </cell>
        </row>
        <row r="238">
          <cell r="A238">
            <v>44681</v>
          </cell>
        </row>
        <row r="239">
          <cell r="A239">
            <v>44712</v>
          </cell>
        </row>
        <row r="240">
          <cell r="A240">
            <v>44742</v>
          </cell>
        </row>
        <row r="241">
          <cell r="A241">
            <v>44773</v>
          </cell>
        </row>
        <row r="242">
          <cell r="A242">
            <v>44804</v>
          </cell>
        </row>
        <row r="243">
          <cell r="A243">
            <v>44834</v>
          </cell>
        </row>
        <row r="244">
          <cell r="A244">
            <v>44865</v>
          </cell>
        </row>
        <row r="245">
          <cell r="A245">
            <v>44895</v>
          </cell>
        </row>
        <row r="246">
          <cell r="A246">
            <v>44926</v>
          </cell>
        </row>
        <row r="247">
          <cell r="A247">
            <v>44957</v>
          </cell>
        </row>
        <row r="248">
          <cell r="A248">
            <v>44985</v>
          </cell>
        </row>
        <row r="249">
          <cell r="A249">
            <v>45016</v>
          </cell>
        </row>
        <row r="250">
          <cell r="A250">
            <v>45046</v>
          </cell>
        </row>
        <row r="251">
          <cell r="A251">
            <v>45077</v>
          </cell>
        </row>
        <row r="252">
          <cell r="A252">
            <v>45107</v>
          </cell>
        </row>
        <row r="253">
          <cell r="A253">
            <v>45138</v>
          </cell>
        </row>
        <row r="254">
          <cell r="A254">
            <v>45169</v>
          </cell>
        </row>
        <row r="255">
          <cell r="A255">
            <v>45199</v>
          </cell>
        </row>
        <row r="256">
          <cell r="A256">
            <v>45230</v>
          </cell>
        </row>
        <row r="257">
          <cell r="A257">
            <v>45260</v>
          </cell>
        </row>
        <row r="258">
          <cell r="A258">
            <v>45291</v>
          </cell>
        </row>
        <row r="259">
          <cell r="A259">
            <v>45322</v>
          </cell>
        </row>
        <row r="260">
          <cell r="A260">
            <v>45351</v>
          </cell>
        </row>
        <row r="261">
          <cell r="A261">
            <v>45382</v>
          </cell>
        </row>
        <row r="262">
          <cell r="A262">
            <v>45412</v>
          </cell>
        </row>
        <row r="263">
          <cell r="A263">
            <v>45443</v>
          </cell>
        </row>
        <row r="264">
          <cell r="A264">
            <v>45473</v>
          </cell>
        </row>
        <row r="265">
          <cell r="A265">
            <v>45504</v>
          </cell>
        </row>
        <row r="266">
          <cell r="A266">
            <v>45535</v>
          </cell>
        </row>
        <row r="267">
          <cell r="A267">
            <v>45565</v>
          </cell>
        </row>
        <row r="268">
          <cell r="A268">
            <v>45596</v>
          </cell>
        </row>
        <row r="269">
          <cell r="A269">
            <v>45626</v>
          </cell>
        </row>
        <row r="270">
          <cell r="A270">
            <v>45657</v>
          </cell>
        </row>
        <row r="271">
          <cell r="A271">
            <v>45688</v>
          </cell>
        </row>
        <row r="272">
          <cell r="A272">
            <v>45716</v>
          </cell>
        </row>
        <row r="273">
          <cell r="A273">
            <v>45747</v>
          </cell>
        </row>
        <row r="274">
          <cell r="A274">
            <v>45777</v>
          </cell>
        </row>
        <row r="275">
          <cell r="A275">
            <v>45808</v>
          </cell>
        </row>
        <row r="276">
          <cell r="A276">
            <v>45838</v>
          </cell>
        </row>
        <row r="277">
          <cell r="A277">
            <v>45869</v>
          </cell>
        </row>
        <row r="278">
          <cell r="A278">
            <v>45900</v>
          </cell>
        </row>
        <row r="279">
          <cell r="A279">
            <v>45930</v>
          </cell>
        </row>
        <row r="280">
          <cell r="A280">
            <v>45961</v>
          </cell>
        </row>
        <row r="281">
          <cell r="A281">
            <v>45991</v>
          </cell>
        </row>
        <row r="282">
          <cell r="A282">
            <v>46022</v>
          </cell>
        </row>
        <row r="283">
          <cell r="A283">
            <v>46053</v>
          </cell>
        </row>
        <row r="284">
          <cell r="A284">
            <v>46081</v>
          </cell>
        </row>
        <row r="285">
          <cell r="A285">
            <v>46112</v>
          </cell>
        </row>
        <row r="286">
          <cell r="A286">
            <v>46142</v>
          </cell>
        </row>
        <row r="287">
          <cell r="A287">
            <v>46173</v>
          </cell>
        </row>
        <row r="288">
          <cell r="A288">
            <v>46203</v>
          </cell>
        </row>
        <row r="289">
          <cell r="A289">
            <v>46234</v>
          </cell>
        </row>
        <row r="290">
          <cell r="A290">
            <v>46265</v>
          </cell>
        </row>
        <row r="291">
          <cell r="A291">
            <v>46295</v>
          </cell>
        </row>
        <row r="292">
          <cell r="A292">
            <v>46326</v>
          </cell>
        </row>
        <row r="293">
          <cell r="A293">
            <v>46356</v>
          </cell>
        </row>
        <row r="294">
          <cell r="A294">
            <v>46387</v>
          </cell>
        </row>
        <row r="295">
          <cell r="A295">
            <v>46418</v>
          </cell>
        </row>
        <row r="296">
          <cell r="A296">
            <v>46446</v>
          </cell>
        </row>
        <row r="297">
          <cell r="A297">
            <v>46477</v>
          </cell>
        </row>
        <row r="298">
          <cell r="A298">
            <v>46507</v>
          </cell>
        </row>
        <row r="299">
          <cell r="A299">
            <v>46538</v>
          </cell>
        </row>
        <row r="300">
          <cell r="A300">
            <v>46568</v>
          </cell>
        </row>
        <row r="301">
          <cell r="A301">
            <v>46599</v>
          </cell>
        </row>
        <row r="302">
          <cell r="A302">
            <v>46630</v>
          </cell>
        </row>
        <row r="303">
          <cell r="A303">
            <v>46660</v>
          </cell>
        </row>
        <row r="304">
          <cell r="A304">
            <v>46691</v>
          </cell>
        </row>
        <row r="305">
          <cell r="A305">
            <v>46721</v>
          </cell>
        </row>
        <row r="306">
          <cell r="A306">
            <v>46752</v>
          </cell>
        </row>
        <row r="307">
          <cell r="A307">
            <v>46783</v>
          </cell>
        </row>
        <row r="308">
          <cell r="A308">
            <v>46812</v>
          </cell>
        </row>
        <row r="309">
          <cell r="A309">
            <v>46843</v>
          </cell>
        </row>
        <row r="310">
          <cell r="A310">
            <v>46873</v>
          </cell>
        </row>
        <row r="311">
          <cell r="A311">
            <v>46904</v>
          </cell>
        </row>
        <row r="312">
          <cell r="A312">
            <v>46934</v>
          </cell>
        </row>
        <row r="313">
          <cell r="A313">
            <v>46965</v>
          </cell>
        </row>
        <row r="314">
          <cell r="A314">
            <v>46996</v>
          </cell>
        </row>
        <row r="315">
          <cell r="A315">
            <v>47026</v>
          </cell>
        </row>
        <row r="316">
          <cell r="A316">
            <v>47057</v>
          </cell>
        </row>
        <row r="317">
          <cell r="A317">
            <v>47087</v>
          </cell>
        </row>
        <row r="318">
          <cell r="A318">
            <v>47118</v>
          </cell>
        </row>
        <row r="319">
          <cell r="A319">
            <v>47149</v>
          </cell>
        </row>
        <row r="320">
          <cell r="A320">
            <v>47177</v>
          </cell>
        </row>
        <row r="321">
          <cell r="A321">
            <v>47208</v>
          </cell>
        </row>
        <row r="322">
          <cell r="A322">
            <v>47238</v>
          </cell>
        </row>
        <row r="323">
          <cell r="A323">
            <v>47269</v>
          </cell>
        </row>
        <row r="324">
          <cell r="A324">
            <v>47299</v>
          </cell>
        </row>
        <row r="325">
          <cell r="A325">
            <v>47330</v>
          </cell>
        </row>
        <row r="326">
          <cell r="A326">
            <v>47361</v>
          </cell>
        </row>
        <row r="327">
          <cell r="A327">
            <v>47391</v>
          </cell>
        </row>
        <row r="328">
          <cell r="A328">
            <v>47422</v>
          </cell>
        </row>
        <row r="329">
          <cell r="A329">
            <v>47452</v>
          </cell>
        </row>
        <row r="330">
          <cell r="A330">
            <v>47483</v>
          </cell>
        </row>
        <row r="331">
          <cell r="A331">
            <v>47514</v>
          </cell>
        </row>
        <row r="332">
          <cell r="A332">
            <v>47542</v>
          </cell>
        </row>
        <row r="333">
          <cell r="A333">
            <v>47573</v>
          </cell>
        </row>
        <row r="334">
          <cell r="A334">
            <v>47603</v>
          </cell>
        </row>
        <row r="335">
          <cell r="A335">
            <v>47634</v>
          </cell>
        </row>
        <row r="336">
          <cell r="A336">
            <v>47664</v>
          </cell>
        </row>
        <row r="337">
          <cell r="A337">
            <v>47695</v>
          </cell>
        </row>
        <row r="338">
          <cell r="A338">
            <v>47726</v>
          </cell>
        </row>
        <row r="339">
          <cell r="A339">
            <v>47756</v>
          </cell>
        </row>
        <row r="340">
          <cell r="A340">
            <v>47787</v>
          </cell>
        </row>
        <row r="341">
          <cell r="A341">
            <v>47817</v>
          </cell>
        </row>
        <row r="342">
          <cell r="A342">
            <v>47848</v>
          </cell>
        </row>
        <row r="343">
          <cell r="A343">
            <v>47879</v>
          </cell>
        </row>
        <row r="344">
          <cell r="A344">
            <v>47907</v>
          </cell>
        </row>
        <row r="345">
          <cell r="A345">
            <v>47938</v>
          </cell>
        </row>
        <row r="346">
          <cell r="A346">
            <v>47968</v>
          </cell>
        </row>
        <row r="347">
          <cell r="A347">
            <v>47999</v>
          </cell>
        </row>
        <row r="348">
          <cell r="A348">
            <v>48029</v>
          </cell>
        </row>
        <row r="349">
          <cell r="A349">
            <v>48060</v>
          </cell>
        </row>
        <row r="350">
          <cell r="A350">
            <v>48091</v>
          </cell>
        </row>
        <row r="351">
          <cell r="A351">
            <v>48121</v>
          </cell>
        </row>
        <row r="352">
          <cell r="A352">
            <v>48152</v>
          </cell>
        </row>
        <row r="353">
          <cell r="A353">
            <v>48182</v>
          </cell>
        </row>
        <row r="354">
          <cell r="A354">
            <v>48213</v>
          </cell>
        </row>
        <row r="355">
          <cell r="A355">
            <v>48244</v>
          </cell>
        </row>
        <row r="356">
          <cell r="A356">
            <v>48273</v>
          </cell>
        </row>
        <row r="357">
          <cell r="A357">
            <v>48304</v>
          </cell>
        </row>
        <row r="358">
          <cell r="A358">
            <v>48334</v>
          </cell>
        </row>
        <row r="359">
          <cell r="A359">
            <v>48365</v>
          </cell>
        </row>
        <row r="360">
          <cell r="A360">
            <v>48395</v>
          </cell>
        </row>
        <row r="361">
          <cell r="A361">
            <v>48426</v>
          </cell>
        </row>
        <row r="362">
          <cell r="A362">
            <v>48457</v>
          </cell>
        </row>
        <row r="363">
          <cell r="A363">
            <v>48487</v>
          </cell>
        </row>
        <row r="364">
          <cell r="A364">
            <v>48518</v>
          </cell>
        </row>
        <row r="365">
          <cell r="A365">
            <v>48548</v>
          </cell>
        </row>
        <row r="366">
          <cell r="A366">
            <v>48579</v>
          </cell>
        </row>
        <row r="367">
          <cell r="A367">
            <v>48610</v>
          </cell>
        </row>
        <row r="368">
          <cell r="A368">
            <v>48638</v>
          </cell>
        </row>
        <row r="369">
          <cell r="A369">
            <v>48669</v>
          </cell>
        </row>
        <row r="370">
          <cell r="A370">
            <v>48699</v>
          </cell>
        </row>
        <row r="371">
          <cell r="A371">
            <v>48730</v>
          </cell>
        </row>
        <row r="372">
          <cell r="A372">
            <v>48760</v>
          </cell>
        </row>
        <row r="373">
          <cell r="A373">
            <v>48791</v>
          </cell>
        </row>
        <row r="374">
          <cell r="A374">
            <v>48822</v>
          </cell>
        </row>
        <row r="375">
          <cell r="A375">
            <v>48852</v>
          </cell>
        </row>
        <row r="376">
          <cell r="A376">
            <v>48883</v>
          </cell>
        </row>
        <row r="377">
          <cell r="A377">
            <v>48913</v>
          </cell>
        </row>
        <row r="378">
          <cell r="A378">
            <v>48944</v>
          </cell>
        </row>
        <row r="379">
          <cell r="A379">
            <v>48975</v>
          </cell>
        </row>
        <row r="380">
          <cell r="A380">
            <v>49003</v>
          </cell>
        </row>
        <row r="381">
          <cell r="A381">
            <v>49034</v>
          </cell>
        </row>
        <row r="382">
          <cell r="A382">
            <v>49064</v>
          </cell>
        </row>
        <row r="383">
          <cell r="A383">
            <v>49095</v>
          </cell>
        </row>
        <row r="384">
          <cell r="A384">
            <v>49125</v>
          </cell>
        </row>
        <row r="385">
          <cell r="A385">
            <v>49156</v>
          </cell>
        </row>
        <row r="386">
          <cell r="A386">
            <v>49187</v>
          </cell>
        </row>
        <row r="387">
          <cell r="A387">
            <v>49217</v>
          </cell>
        </row>
        <row r="388">
          <cell r="A388">
            <v>49248</v>
          </cell>
        </row>
        <row r="389">
          <cell r="A389">
            <v>49278</v>
          </cell>
        </row>
        <row r="390">
          <cell r="A390">
            <v>49309</v>
          </cell>
        </row>
        <row r="391">
          <cell r="A391">
            <v>49340</v>
          </cell>
        </row>
        <row r="392">
          <cell r="A392">
            <v>49368</v>
          </cell>
        </row>
        <row r="393">
          <cell r="A393">
            <v>49399</v>
          </cell>
        </row>
        <row r="394">
          <cell r="A394">
            <v>49429</v>
          </cell>
        </row>
        <row r="395">
          <cell r="A395">
            <v>49460</v>
          </cell>
        </row>
        <row r="396">
          <cell r="A396">
            <v>49490</v>
          </cell>
        </row>
        <row r="397">
          <cell r="A397">
            <v>49521</v>
          </cell>
        </row>
        <row r="398">
          <cell r="A398">
            <v>49552</v>
          </cell>
        </row>
        <row r="399">
          <cell r="A399">
            <v>49582</v>
          </cell>
        </row>
        <row r="400">
          <cell r="A400">
            <v>49613</v>
          </cell>
        </row>
        <row r="401">
          <cell r="A401">
            <v>49643</v>
          </cell>
        </row>
        <row r="402">
          <cell r="A402">
            <v>49674</v>
          </cell>
        </row>
        <row r="403">
          <cell r="A403">
            <v>49705</v>
          </cell>
        </row>
        <row r="404">
          <cell r="A404">
            <v>49734</v>
          </cell>
        </row>
        <row r="405">
          <cell r="A405">
            <v>49765</v>
          </cell>
        </row>
        <row r="406">
          <cell r="A406">
            <v>49795</v>
          </cell>
        </row>
        <row r="407">
          <cell r="A407">
            <v>49826</v>
          </cell>
        </row>
        <row r="408">
          <cell r="A408">
            <v>49856</v>
          </cell>
        </row>
        <row r="409">
          <cell r="A409">
            <v>49887</v>
          </cell>
        </row>
        <row r="410">
          <cell r="A410">
            <v>49918</v>
          </cell>
        </row>
        <row r="411">
          <cell r="A411">
            <v>49948</v>
          </cell>
        </row>
        <row r="412">
          <cell r="A412">
            <v>49979</v>
          </cell>
        </row>
        <row r="413">
          <cell r="A413">
            <v>50009</v>
          </cell>
        </row>
        <row r="414">
          <cell r="A414">
            <v>50040</v>
          </cell>
        </row>
        <row r="415">
          <cell r="A415">
            <v>50071</v>
          </cell>
        </row>
        <row r="416">
          <cell r="A416">
            <v>50099</v>
          </cell>
        </row>
        <row r="417">
          <cell r="A417">
            <v>50130</v>
          </cell>
        </row>
        <row r="418">
          <cell r="A418">
            <v>50160</v>
          </cell>
        </row>
        <row r="419">
          <cell r="A419">
            <v>50191</v>
          </cell>
        </row>
        <row r="420">
          <cell r="A420">
            <v>50221</v>
          </cell>
        </row>
        <row r="421">
          <cell r="A421">
            <v>50252</v>
          </cell>
        </row>
        <row r="422">
          <cell r="A422">
            <v>50283</v>
          </cell>
        </row>
        <row r="423">
          <cell r="A423">
            <v>50313</v>
          </cell>
        </row>
        <row r="424">
          <cell r="A424">
            <v>50344</v>
          </cell>
        </row>
        <row r="425">
          <cell r="A425">
            <v>50374</v>
          </cell>
        </row>
        <row r="426">
          <cell r="A426">
            <v>50405</v>
          </cell>
        </row>
        <row r="427">
          <cell r="A427">
            <v>50436</v>
          </cell>
        </row>
        <row r="428">
          <cell r="A428">
            <v>50464</v>
          </cell>
        </row>
        <row r="429">
          <cell r="A429">
            <v>50495</v>
          </cell>
        </row>
        <row r="430">
          <cell r="A430">
            <v>50525</v>
          </cell>
        </row>
        <row r="431">
          <cell r="A431">
            <v>50556</v>
          </cell>
        </row>
        <row r="432">
          <cell r="A432">
            <v>50586</v>
          </cell>
        </row>
        <row r="433">
          <cell r="A433">
            <v>50617</v>
          </cell>
        </row>
        <row r="434">
          <cell r="A434">
            <v>50648</v>
          </cell>
        </row>
        <row r="435">
          <cell r="A435">
            <v>50678</v>
          </cell>
        </row>
        <row r="436">
          <cell r="A436">
            <v>50709</v>
          </cell>
        </row>
        <row r="437">
          <cell r="A437">
            <v>50739</v>
          </cell>
        </row>
        <row r="438">
          <cell r="A438">
            <v>50770</v>
          </cell>
        </row>
        <row r="439">
          <cell r="A439">
            <v>50801</v>
          </cell>
        </row>
        <row r="440">
          <cell r="A440">
            <v>50829</v>
          </cell>
        </row>
        <row r="441">
          <cell r="A441">
            <v>50860</v>
          </cell>
        </row>
        <row r="442">
          <cell r="A442">
            <v>50890</v>
          </cell>
        </row>
        <row r="443">
          <cell r="A443">
            <v>50921</v>
          </cell>
        </row>
        <row r="444">
          <cell r="A444">
            <v>50951</v>
          </cell>
        </row>
        <row r="445">
          <cell r="A445">
            <v>50982</v>
          </cell>
        </row>
        <row r="446">
          <cell r="A446">
            <v>51013</v>
          </cell>
        </row>
        <row r="447">
          <cell r="A447">
            <v>51043</v>
          </cell>
        </row>
        <row r="448">
          <cell r="A448">
            <v>51074</v>
          </cell>
        </row>
        <row r="449">
          <cell r="A449">
            <v>51104</v>
          </cell>
        </row>
        <row r="450">
          <cell r="A450">
            <v>51135</v>
          </cell>
        </row>
        <row r="451">
          <cell r="A451">
            <v>51166</v>
          </cell>
        </row>
        <row r="452">
          <cell r="A452">
            <v>51195</v>
          </cell>
        </row>
        <row r="453">
          <cell r="A453">
            <v>51226</v>
          </cell>
        </row>
        <row r="454">
          <cell r="A454">
            <v>51256</v>
          </cell>
        </row>
        <row r="455">
          <cell r="A455">
            <v>51287</v>
          </cell>
        </row>
        <row r="456">
          <cell r="A456">
            <v>51317</v>
          </cell>
        </row>
        <row r="457">
          <cell r="A457">
            <v>51348</v>
          </cell>
        </row>
        <row r="458">
          <cell r="A458">
            <v>51379</v>
          </cell>
        </row>
        <row r="459">
          <cell r="A459">
            <v>51409</v>
          </cell>
        </row>
        <row r="460">
          <cell r="A460">
            <v>51440</v>
          </cell>
        </row>
        <row r="461">
          <cell r="A461">
            <v>51470</v>
          </cell>
        </row>
        <row r="462">
          <cell r="A462">
            <v>51501</v>
          </cell>
        </row>
        <row r="463">
          <cell r="A463">
            <v>51532</v>
          </cell>
        </row>
        <row r="464">
          <cell r="A464">
            <v>51560</v>
          </cell>
        </row>
        <row r="465">
          <cell r="A465">
            <v>51591</v>
          </cell>
        </row>
        <row r="466">
          <cell r="A466">
            <v>51621</v>
          </cell>
        </row>
        <row r="467">
          <cell r="A467">
            <v>51652</v>
          </cell>
        </row>
        <row r="468">
          <cell r="A468">
            <v>51682</v>
          </cell>
        </row>
        <row r="469">
          <cell r="A469">
            <v>51713</v>
          </cell>
        </row>
        <row r="470">
          <cell r="A470">
            <v>51744</v>
          </cell>
        </row>
        <row r="471">
          <cell r="A471">
            <v>51774</v>
          </cell>
        </row>
        <row r="472">
          <cell r="A472">
            <v>51805</v>
          </cell>
        </row>
        <row r="473">
          <cell r="A473">
            <v>51835</v>
          </cell>
        </row>
        <row r="474">
          <cell r="A474">
            <v>51866</v>
          </cell>
        </row>
        <row r="475">
          <cell r="A475">
            <v>51897</v>
          </cell>
        </row>
        <row r="476">
          <cell r="A476">
            <v>51925</v>
          </cell>
        </row>
        <row r="477">
          <cell r="A477">
            <v>51956</v>
          </cell>
        </row>
        <row r="478">
          <cell r="A478">
            <v>51986</v>
          </cell>
        </row>
        <row r="479">
          <cell r="A479">
            <v>52017</v>
          </cell>
        </row>
        <row r="480">
          <cell r="A480">
            <v>52047</v>
          </cell>
        </row>
        <row r="481">
          <cell r="A481">
            <v>52078</v>
          </cell>
        </row>
        <row r="482">
          <cell r="A482">
            <v>52109</v>
          </cell>
        </row>
        <row r="483">
          <cell r="A483">
            <v>52139</v>
          </cell>
        </row>
        <row r="484">
          <cell r="A484">
            <v>52170</v>
          </cell>
        </row>
        <row r="485">
          <cell r="A485">
            <v>52200</v>
          </cell>
        </row>
        <row r="486">
          <cell r="A486">
            <v>52231</v>
          </cell>
        </row>
        <row r="487">
          <cell r="A487">
            <v>52262</v>
          </cell>
        </row>
        <row r="488">
          <cell r="A488">
            <v>52290</v>
          </cell>
        </row>
        <row r="489">
          <cell r="A489">
            <v>52321</v>
          </cell>
        </row>
        <row r="490">
          <cell r="A490">
            <v>52351</v>
          </cell>
        </row>
        <row r="491">
          <cell r="A491">
            <v>52382</v>
          </cell>
        </row>
        <row r="492">
          <cell r="A492">
            <v>52412</v>
          </cell>
        </row>
        <row r="493">
          <cell r="A493">
            <v>52443</v>
          </cell>
        </row>
        <row r="494">
          <cell r="A494">
            <v>52474</v>
          </cell>
        </row>
        <row r="495">
          <cell r="A495">
            <v>52504</v>
          </cell>
        </row>
        <row r="496">
          <cell r="A496">
            <v>52535</v>
          </cell>
        </row>
        <row r="497">
          <cell r="A497">
            <v>52565</v>
          </cell>
        </row>
        <row r="498">
          <cell r="A498">
            <v>52596</v>
          </cell>
        </row>
        <row r="499">
          <cell r="A499">
            <v>52627</v>
          </cell>
        </row>
        <row r="500">
          <cell r="A500">
            <v>52656</v>
          </cell>
        </row>
        <row r="501">
          <cell r="A501">
            <v>52687</v>
          </cell>
        </row>
        <row r="502">
          <cell r="A502">
            <v>52717</v>
          </cell>
        </row>
        <row r="503">
          <cell r="A503">
            <v>52748</v>
          </cell>
        </row>
        <row r="504">
          <cell r="A504">
            <v>52778</v>
          </cell>
        </row>
        <row r="505">
          <cell r="A505">
            <v>52809</v>
          </cell>
        </row>
        <row r="506">
          <cell r="A506">
            <v>52840</v>
          </cell>
        </row>
        <row r="507">
          <cell r="A507">
            <v>52870</v>
          </cell>
        </row>
        <row r="508">
          <cell r="A508">
            <v>52901</v>
          </cell>
        </row>
        <row r="509">
          <cell r="A509">
            <v>52931</v>
          </cell>
        </row>
        <row r="510">
          <cell r="A510">
            <v>52962</v>
          </cell>
        </row>
        <row r="511">
          <cell r="A511">
            <v>52993</v>
          </cell>
        </row>
        <row r="512">
          <cell r="A512">
            <v>53021</v>
          </cell>
        </row>
        <row r="513">
          <cell r="A513">
            <v>53052</v>
          </cell>
        </row>
        <row r="514">
          <cell r="A514">
            <v>53082</v>
          </cell>
        </row>
        <row r="515">
          <cell r="A515">
            <v>53113</v>
          </cell>
        </row>
        <row r="516">
          <cell r="A516">
            <v>53143</v>
          </cell>
        </row>
        <row r="517">
          <cell r="A517">
            <v>53174</v>
          </cell>
        </row>
        <row r="518">
          <cell r="A518">
            <v>53205</v>
          </cell>
        </row>
        <row r="519">
          <cell r="A519">
            <v>53235</v>
          </cell>
        </row>
        <row r="520">
          <cell r="A520">
            <v>53266</v>
          </cell>
        </row>
        <row r="521">
          <cell r="A521">
            <v>53296</v>
          </cell>
        </row>
        <row r="522">
          <cell r="A522">
            <v>53327</v>
          </cell>
        </row>
        <row r="523">
          <cell r="A523">
            <v>53358</v>
          </cell>
        </row>
        <row r="524">
          <cell r="A524">
            <v>53386</v>
          </cell>
        </row>
        <row r="525">
          <cell r="A525">
            <v>53417</v>
          </cell>
        </row>
        <row r="526">
          <cell r="A526">
            <v>53447</v>
          </cell>
        </row>
        <row r="527">
          <cell r="A527">
            <v>53478</v>
          </cell>
        </row>
        <row r="528">
          <cell r="A528">
            <v>53508</v>
          </cell>
        </row>
        <row r="529">
          <cell r="A529">
            <v>53539</v>
          </cell>
        </row>
        <row r="530">
          <cell r="A530">
            <v>53570</v>
          </cell>
        </row>
        <row r="531">
          <cell r="A531">
            <v>53600</v>
          </cell>
        </row>
        <row r="532">
          <cell r="A532">
            <v>53631</v>
          </cell>
        </row>
        <row r="533">
          <cell r="A533">
            <v>53661</v>
          </cell>
        </row>
        <row r="534">
          <cell r="A534">
            <v>53692</v>
          </cell>
        </row>
        <row r="535">
          <cell r="A535">
            <v>53723</v>
          </cell>
        </row>
        <row r="536">
          <cell r="A536">
            <v>53751</v>
          </cell>
        </row>
        <row r="537">
          <cell r="A537">
            <v>53782</v>
          </cell>
        </row>
        <row r="538">
          <cell r="A538">
            <v>53812</v>
          </cell>
        </row>
        <row r="539">
          <cell r="A539">
            <v>53843</v>
          </cell>
        </row>
        <row r="540">
          <cell r="A540">
            <v>53873</v>
          </cell>
        </row>
        <row r="541">
          <cell r="A541">
            <v>53904</v>
          </cell>
        </row>
        <row r="542">
          <cell r="A542">
            <v>53935</v>
          </cell>
        </row>
        <row r="543">
          <cell r="A543">
            <v>53965</v>
          </cell>
        </row>
        <row r="544">
          <cell r="A544">
            <v>53996</v>
          </cell>
        </row>
        <row r="545">
          <cell r="A545">
            <v>54026</v>
          </cell>
        </row>
        <row r="546">
          <cell r="A546">
            <v>54057</v>
          </cell>
        </row>
        <row r="547">
          <cell r="A547">
            <v>54088</v>
          </cell>
        </row>
        <row r="548">
          <cell r="A548">
            <v>54117</v>
          </cell>
        </row>
        <row r="549">
          <cell r="A549">
            <v>54148</v>
          </cell>
        </row>
        <row r="550">
          <cell r="A550">
            <v>54178</v>
          </cell>
        </row>
        <row r="551">
          <cell r="A551">
            <v>54209</v>
          </cell>
        </row>
        <row r="552">
          <cell r="A552">
            <v>54239</v>
          </cell>
        </row>
        <row r="553">
          <cell r="A553">
            <v>54270</v>
          </cell>
        </row>
        <row r="554">
          <cell r="A554">
            <v>54301</v>
          </cell>
        </row>
        <row r="555">
          <cell r="A555">
            <v>54331</v>
          </cell>
        </row>
        <row r="556">
          <cell r="A556">
            <v>54362</v>
          </cell>
        </row>
        <row r="557">
          <cell r="A557">
            <v>54392</v>
          </cell>
        </row>
        <row r="558">
          <cell r="A558">
            <v>54423</v>
          </cell>
        </row>
        <row r="559">
          <cell r="A559">
            <v>54454</v>
          </cell>
        </row>
        <row r="560">
          <cell r="A560">
            <v>54482</v>
          </cell>
        </row>
        <row r="561">
          <cell r="A561">
            <v>54513</v>
          </cell>
        </row>
        <row r="562">
          <cell r="A562">
            <v>54543</v>
          </cell>
        </row>
        <row r="563">
          <cell r="A563">
            <v>54574</v>
          </cell>
        </row>
        <row r="564">
          <cell r="A564">
            <v>54604</v>
          </cell>
        </row>
        <row r="565">
          <cell r="A565">
            <v>54635</v>
          </cell>
        </row>
        <row r="566">
          <cell r="A566">
            <v>54666</v>
          </cell>
        </row>
        <row r="567">
          <cell r="A567">
            <v>54696</v>
          </cell>
        </row>
        <row r="568">
          <cell r="A568">
            <v>54727</v>
          </cell>
        </row>
        <row r="569">
          <cell r="A569">
            <v>54757</v>
          </cell>
        </row>
        <row r="570">
          <cell r="A570">
            <v>54788</v>
          </cell>
        </row>
        <row r="571">
          <cell r="A571">
            <v>54819</v>
          </cell>
        </row>
        <row r="572">
          <cell r="A572">
            <v>54847</v>
          </cell>
        </row>
        <row r="573">
          <cell r="A573">
            <v>54878</v>
          </cell>
        </row>
        <row r="574">
          <cell r="A574">
            <v>54908</v>
          </cell>
        </row>
        <row r="575">
          <cell r="A575">
            <v>54939</v>
          </cell>
        </row>
        <row r="576">
          <cell r="A576">
            <v>54969</v>
          </cell>
        </row>
        <row r="577">
          <cell r="A577">
            <v>55000</v>
          </cell>
        </row>
        <row r="578">
          <cell r="A578">
            <v>55031</v>
          </cell>
        </row>
        <row r="579">
          <cell r="A579">
            <v>55061</v>
          </cell>
        </row>
        <row r="580">
          <cell r="A580">
            <v>55092</v>
          </cell>
        </row>
        <row r="581">
          <cell r="A581">
            <v>55122</v>
          </cell>
        </row>
        <row r="582">
          <cell r="A582">
            <v>55153</v>
          </cell>
        </row>
        <row r="583">
          <cell r="A583">
            <v>55184</v>
          </cell>
        </row>
        <row r="584">
          <cell r="A584">
            <v>55212</v>
          </cell>
        </row>
        <row r="585">
          <cell r="A585">
            <v>55243</v>
          </cell>
        </row>
        <row r="586">
          <cell r="A586">
            <v>55273</v>
          </cell>
        </row>
        <row r="587">
          <cell r="A587">
            <v>55304</v>
          </cell>
        </row>
        <row r="588">
          <cell r="A588">
            <v>55334</v>
          </cell>
        </row>
        <row r="589">
          <cell r="A589">
            <v>55365</v>
          </cell>
        </row>
        <row r="590">
          <cell r="A590">
            <v>55396</v>
          </cell>
        </row>
        <row r="591">
          <cell r="A591">
            <v>55426</v>
          </cell>
        </row>
        <row r="592">
          <cell r="A592">
            <v>55457</v>
          </cell>
        </row>
        <row r="593">
          <cell r="A593">
            <v>55487</v>
          </cell>
        </row>
        <row r="594">
          <cell r="A594">
            <v>55518</v>
          </cell>
        </row>
        <row r="595">
          <cell r="A595">
            <v>55549</v>
          </cell>
        </row>
        <row r="596">
          <cell r="A596">
            <v>55578</v>
          </cell>
        </row>
        <row r="597">
          <cell r="A597">
            <v>55609</v>
          </cell>
        </row>
        <row r="598">
          <cell r="A598">
            <v>55639</v>
          </cell>
        </row>
        <row r="599">
          <cell r="A599">
            <v>55670</v>
          </cell>
        </row>
        <row r="600">
          <cell r="A600">
            <v>55700</v>
          </cell>
        </row>
        <row r="601">
          <cell r="A601">
            <v>55731</v>
          </cell>
        </row>
        <row r="602">
          <cell r="A602">
            <v>55762</v>
          </cell>
        </row>
        <row r="603">
          <cell r="A603">
            <v>55792</v>
          </cell>
        </row>
        <row r="604">
          <cell r="A604">
            <v>55823</v>
          </cell>
        </row>
        <row r="605">
          <cell r="A605">
            <v>55853</v>
          </cell>
        </row>
        <row r="606">
          <cell r="A606">
            <v>55884</v>
          </cell>
        </row>
        <row r="607">
          <cell r="A607">
            <v>55915</v>
          </cell>
        </row>
        <row r="608">
          <cell r="A608">
            <v>55943</v>
          </cell>
        </row>
        <row r="609">
          <cell r="A609">
            <v>55974</v>
          </cell>
        </row>
        <row r="610">
          <cell r="A610">
            <v>56004</v>
          </cell>
        </row>
        <row r="611">
          <cell r="A611">
            <v>56035</v>
          </cell>
        </row>
        <row r="612">
          <cell r="A612">
            <v>56065</v>
          </cell>
        </row>
        <row r="613">
          <cell r="A613">
            <v>56096</v>
          </cell>
        </row>
        <row r="614">
          <cell r="A614">
            <v>56127</v>
          </cell>
        </row>
        <row r="615">
          <cell r="A615">
            <v>56157</v>
          </cell>
        </row>
        <row r="616">
          <cell r="A616">
            <v>56188</v>
          </cell>
        </row>
        <row r="617">
          <cell r="A617">
            <v>56218</v>
          </cell>
        </row>
        <row r="618">
          <cell r="A618">
            <v>56249</v>
          </cell>
        </row>
        <row r="619">
          <cell r="A619">
            <v>56280</v>
          </cell>
        </row>
        <row r="620">
          <cell r="A620">
            <v>56308</v>
          </cell>
        </row>
        <row r="621">
          <cell r="A621">
            <v>56339</v>
          </cell>
        </row>
        <row r="622">
          <cell r="A622">
            <v>56369</v>
          </cell>
        </row>
        <row r="623">
          <cell r="A623">
            <v>56400</v>
          </cell>
        </row>
        <row r="624">
          <cell r="A624">
            <v>56430</v>
          </cell>
        </row>
        <row r="625">
          <cell r="A625">
            <v>56461</v>
          </cell>
        </row>
        <row r="626">
          <cell r="A626">
            <v>56492</v>
          </cell>
        </row>
        <row r="627">
          <cell r="A627">
            <v>56522</v>
          </cell>
        </row>
        <row r="628">
          <cell r="A628">
            <v>56553</v>
          </cell>
        </row>
        <row r="629">
          <cell r="A629">
            <v>56583</v>
          </cell>
        </row>
        <row r="630">
          <cell r="A630">
            <v>56614</v>
          </cell>
        </row>
        <row r="631">
          <cell r="A631">
            <v>56645</v>
          </cell>
        </row>
        <row r="632">
          <cell r="A632">
            <v>56673</v>
          </cell>
        </row>
        <row r="633">
          <cell r="A633">
            <v>56704</v>
          </cell>
        </row>
        <row r="634">
          <cell r="A634">
            <v>56734</v>
          </cell>
        </row>
        <row r="635">
          <cell r="A635">
            <v>56765</v>
          </cell>
        </row>
        <row r="636">
          <cell r="A636">
            <v>56795</v>
          </cell>
        </row>
        <row r="637">
          <cell r="A637">
            <v>56826</v>
          </cell>
        </row>
        <row r="638">
          <cell r="A638">
            <v>56857</v>
          </cell>
        </row>
        <row r="639">
          <cell r="A639">
            <v>56887</v>
          </cell>
        </row>
        <row r="640">
          <cell r="A640">
            <v>56918</v>
          </cell>
        </row>
        <row r="641">
          <cell r="A641">
            <v>56948</v>
          </cell>
        </row>
        <row r="642">
          <cell r="A642">
            <v>56979</v>
          </cell>
        </row>
        <row r="643">
          <cell r="A643">
            <v>57010</v>
          </cell>
        </row>
        <row r="644">
          <cell r="A644">
            <v>57039</v>
          </cell>
        </row>
        <row r="645">
          <cell r="A645">
            <v>57070</v>
          </cell>
        </row>
        <row r="646">
          <cell r="A646">
            <v>57100</v>
          </cell>
        </row>
        <row r="647">
          <cell r="A647">
            <v>57131</v>
          </cell>
        </row>
        <row r="648">
          <cell r="A648">
            <v>57161</v>
          </cell>
        </row>
        <row r="649">
          <cell r="A649">
            <v>57192</v>
          </cell>
        </row>
        <row r="650">
          <cell r="A650">
            <v>57223</v>
          </cell>
        </row>
        <row r="651">
          <cell r="A651">
            <v>57253</v>
          </cell>
        </row>
        <row r="652">
          <cell r="A652">
            <v>57284</v>
          </cell>
        </row>
        <row r="653">
          <cell r="A653">
            <v>57314</v>
          </cell>
        </row>
        <row r="654">
          <cell r="A654">
            <v>57345</v>
          </cell>
        </row>
        <row r="655">
          <cell r="A655">
            <v>57376</v>
          </cell>
        </row>
        <row r="656">
          <cell r="A656">
            <v>57404</v>
          </cell>
        </row>
        <row r="657">
          <cell r="A657">
            <v>57435</v>
          </cell>
        </row>
        <row r="658">
          <cell r="A658">
            <v>57465</v>
          </cell>
        </row>
        <row r="659">
          <cell r="A659">
            <v>57496</v>
          </cell>
        </row>
        <row r="660">
          <cell r="A660">
            <v>57526</v>
          </cell>
        </row>
        <row r="661">
          <cell r="A661">
            <v>57557</v>
          </cell>
        </row>
        <row r="662">
          <cell r="A662">
            <v>57588</v>
          </cell>
        </row>
        <row r="663">
          <cell r="A663">
            <v>57618</v>
          </cell>
        </row>
        <row r="664">
          <cell r="A664">
            <v>57649</v>
          </cell>
        </row>
        <row r="665">
          <cell r="A665">
            <v>57679</v>
          </cell>
        </row>
        <row r="666">
          <cell r="A666">
            <v>57710</v>
          </cell>
        </row>
        <row r="667">
          <cell r="A667">
            <v>57741</v>
          </cell>
        </row>
        <row r="668">
          <cell r="A668">
            <v>57769</v>
          </cell>
        </row>
        <row r="669">
          <cell r="A669">
            <v>57800</v>
          </cell>
        </row>
        <row r="670">
          <cell r="A670">
            <v>57830</v>
          </cell>
        </row>
        <row r="671">
          <cell r="A671">
            <v>57861</v>
          </cell>
        </row>
        <row r="672">
          <cell r="A672">
            <v>57891</v>
          </cell>
        </row>
        <row r="673">
          <cell r="A673">
            <v>57922</v>
          </cell>
        </row>
        <row r="674">
          <cell r="A674">
            <v>57953</v>
          </cell>
        </row>
        <row r="675">
          <cell r="A675">
            <v>57983</v>
          </cell>
        </row>
        <row r="676">
          <cell r="A676">
            <v>58014</v>
          </cell>
        </row>
        <row r="677">
          <cell r="A677">
            <v>58044</v>
          </cell>
        </row>
        <row r="678">
          <cell r="A678">
            <v>58075</v>
          </cell>
        </row>
        <row r="679">
          <cell r="A679">
            <v>58106</v>
          </cell>
        </row>
        <row r="680">
          <cell r="A680">
            <v>58134</v>
          </cell>
        </row>
        <row r="681">
          <cell r="A681">
            <v>58165</v>
          </cell>
        </row>
        <row r="682">
          <cell r="A682">
            <v>58195</v>
          </cell>
        </row>
        <row r="683">
          <cell r="A683">
            <v>58226</v>
          </cell>
        </row>
        <row r="684">
          <cell r="A684">
            <v>58256</v>
          </cell>
        </row>
        <row r="685">
          <cell r="A685">
            <v>58287</v>
          </cell>
        </row>
        <row r="686">
          <cell r="A686">
            <v>58318</v>
          </cell>
        </row>
        <row r="687">
          <cell r="A687">
            <v>58348</v>
          </cell>
        </row>
        <row r="688">
          <cell r="A688">
            <v>58379</v>
          </cell>
        </row>
        <row r="689">
          <cell r="A689">
            <v>58409</v>
          </cell>
        </row>
        <row r="690">
          <cell r="A690">
            <v>58440</v>
          </cell>
        </row>
        <row r="691">
          <cell r="A691">
            <v>58471</v>
          </cell>
        </row>
        <row r="692">
          <cell r="A692">
            <v>58500</v>
          </cell>
        </row>
        <row r="693">
          <cell r="A693">
            <v>58531</v>
          </cell>
        </row>
        <row r="694">
          <cell r="A694">
            <v>58561</v>
          </cell>
        </row>
        <row r="695">
          <cell r="A695">
            <v>58592</v>
          </cell>
        </row>
        <row r="696">
          <cell r="A696">
            <v>58622</v>
          </cell>
        </row>
        <row r="697">
          <cell r="A697">
            <v>58653</v>
          </cell>
        </row>
        <row r="698">
          <cell r="A698">
            <v>58684</v>
          </cell>
        </row>
        <row r="699">
          <cell r="A699">
            <v>58714</v>
          </cell>
        </row>
        <row r="700">
          <cell r="A700">
            <v>58745</v>
          </cell>
        </row>
        <row r="701">
          <cell r="A701">
            <v>58775</v>
          </cell>
        </row>
        <row r="702">
          <cell r="A702">
            <v>58806</v>
          </cell>
        </row>
        <row r="703">
          <cell r="A703">
            <v>58837</v>
          </cell>
        </row>
        <row r="704">
          <cell r="A704">
            <v>58865</v>
          </cell>
        </row>
        <row r="705">
          <cell r="A705">
            <v>58896</v>
          </cell>
        </row>
        <row r="706">
          <cell r="A706">
            <v>58926</v>
          </cell>
        </row>
        <row r="707">
          <cell r="A707">
            <v>58957</v>
          </cell>
        </row>
        <row r="708">
          <cell r="A708">
            <v>58987</v>
          </cell>
        </row>
        <row r="709">
          <cell r="A709">
            <v>59018</v>
          </cell>
        </row>
        <row r="710">
          <cell r="A710">
            <v>59049</v>
          </cell>
        </row>
        <row r="711">
          <cell r="A711">
            <v>59079</v>
          </cell>
        </row>
        <row r="712">
          <cell r="A712">
            <v>59110</v>
          </cell>
        </row>
        <row r="713">
          <cell r="A713">
            <v>59140</v>
          </cell>
        </row>
        <row r="714">
          <cell r="A714">
            <v>59171</v>
          </cell>
        </row>
        <row r="715">
          <cell r="A715">
            <v>59202</v>
          </cell>
        </row>
        <row r="716">
          <cell r="A716">
            <v>59230</v>
          </cell>
        </row>
        <row r="717">
          <cell r="A717">
            <v>59261</v>
          </cell>
        </row>
        <row r="718">
          <cell r="A718">
            <v>59291</v>
          </cell>
        </row>
        <row r="719">
          <cell r="A719">
            <v>59322</v>
          </cell>
        </row>
        <row r="720">
          <cell r="A720">
            <v>59352</v>
          </cell>
        </row>
        <row r="721">
          <cell r="A721">
            <v>59383</v>
          </cell>
        </row>
        <row r="722">
          <cell r="A722">
            <v>59414</v>
          </cell>
        </row>
        <row r="723">
          <cell r="A723">
            <v>59444</v>
          </cell>
        </row>
        <row r="724">
          <cell r="A724">
            <v>59475</v>
          </cell>
        </row>
        <row r="725">
          <cell r="A725">
            <v>59505</v>
          </cell>
        </row>
        <row r="726">
          <cell r="A726">
            <v>59536</v>
          </cell>
        </row>
        <row r="727">
          <cell r="A727">
            <v>59567</v>
          </cell>
        </row>
        <row r="728">
          <cell r="A728">
            <v>59595</v>
          </cell>
        </row>
        <row r="729">
          <cell r="A729">
            <v>59626</v>
          </cell>
        </row>
        <row r="730">
          <cell r="A730">
            <v>59656</v>
          </cell>
        </row>
        <row r="731">
          <cell r="A731">
            <v>59687</v>
          </cell>
        </row>
        <row r="732">
          <cell r="A732">
            <v>59717</v>
          </cell>
        </row>
        <row r="733">
          <cell r="A733">
            <v>59748</v>
          </cell>
        </row>
        <row r="734">
          <cell r="A734">
            <v>59779</v>
          </cell>
        </row>
        <row r="735">
          <cell r="A735">
            <v>59809</v>
          </cell>
        </row>
        <row r="736">
          <cell r="A736">
            <v>59840</v>
          </cell>
        </row>
        <row r="737">
          <cell r="A737">
            <v>59870</v>
          </cell>
        </row>
        <row r="738">
          <cell r="A738">
            <v>59901</v>
          </cell>
        </row>
        <row r="739">
          <cell r="A739">
            <v>59932</v>
          </cell>
        </row>
        <row r="740">
          <cell r="A740">
            <v>59961</v>
          </cell>
        </row>
        <row r="741">
          <cell r="A741">
            <v>59992</v>
          </cell>
        </row>
        <row r="742">
          <cell r="A742">
            <v>60022</v>
          </cell>
        </row>
        <row r="743">
          <cell r="A743">
            <v>60053</v>
          </cell>
        </row>
        <row r="744">
          <cell r="A744">
            <v>60083</v>
          </cell>
        </row>
        <row r="745">
          <cell r="A745">
            <v>60114</v>
          </cell>
        </row>
        <row r="746">
          <cell r="A746">
            <v>60145</v>
          </cell>
        </row>
        <row r="747">
          <cell r="A747">
            <v>60175</v>
          </cell>
        </row>
        <row r="748">
          <cell r="A748">
            <v>60206</v>
          </cell>
        </row>
        <row r="749">
          <cell r="A749">
            <v>60236</v>
          </cell>
        </row>
        <row r="750">
          <cell r="A750">
            <v>60267</v>
          </cell>
        </row>
        <row r="751">
          <cell r="A751">
            <v>60298</v>
          </cell>
        </row>
        <row r="752">
          <cell r="A752">
            <v>60326</v>
          </cell>
        </row>
        <row r="753">
          <cell r="A753">
            <v>60357</v>
          </cell>
        </row>
        <row r="754">
          <cell r="A754">
            <v>60387</v>
          </cell>
        </row>
        <row r="755">
          <cell r="A755">
            <v>60418</v>
          </cell>
        </row>
        <row r="756">
          <cell r="A756">
            <v>60448</v>
          </cell>
        </row>
        <row r="757">
          <cell r="A757">
            <v>60479</v>
          </cell>
        </row>
        <row r="758">
          <cell r="A758">
            <v>60510</v>
          </cell>
        </row>
        <row r="759">
          <cell r="A759">
            <v>60540</v>
          </cell>
        </row>
        <row r="760">
          <cell r="A760">
            <v>60571</v>
          </cell>
        </row>
        <row r="761">
          <cell r="A761">
            <v>60601</v>
          </cell>
        </row>
        <row r="762">
          <cell r="A762">
            <v>60632</v>
          </cell>
        </row>
        <row r="763">
          <cell r="A763">
            <v>60663</v>
          </cell>
        </row>
        <row r="764">
          <cell r="A764">
            <v>60691</v>
          </cell>
        </row>
        <row r="765">
          <cell r="A765">
            <v>60722</v>
          </cell>
        </row>
        <row r="766">
          <cell r="A766">
            <v>60752</v>
          </cell>
        </row>
        <row r="767">
          <cell r="A767">
            <v>60783</v>
          </cell>
        </row>
        <row r="768">
          <cell r="A768">
            <v>60813</v>
          </cell>
        </row>
        <row r="769">
          <cell r="A769">
            <v>60844</v>
          </cell>
        </row>
        <row r="770">
          <cell r="A770">
            <v>60875</v>
          </cell>
        </row>
        <row r="771">
          <cell r="A771">
            <v>60905</v>
          </cell>
        </row>
        <row r="772">
          <cell r="A772">
            <v>60936</v>
          </cell>
        </row>
        <row r="773">
          <cell r="A773">
            <v>60966</v>
          </cell>
        </row>
        <row r="774">
          <cell r="A774">
            <v>60997</v>
          </cell>
        </row>
        <row r="775">
          <cell r="A775">
            <v>61028</v>
          </cell>
        </row>
        <row r="776">
          <cell r="A776">
            <v>61056</v>
          </cell>
        </row>
        <row r="777">
          <cell r="A777">
            <v>61087</v>
          </cell>
        </row>
        <row r="778">
          <cell r="A778">
            <v>61117</v>
          </cell>
        </row>
        <row r="779">
          <cell r="A779">
            <v>61148</v>
          </cell>
        </row>
        <row r="780">
          <cell r="A780">
            <v>61178</v>
          </cell>
        </row>
        <row r="781">
          <cell r="A781">
            <v>61209</v>
          </cell>
        </row>
        <row r="782">
          <cell r="A782">
            <v>61240</v>
          </cell>
        </row>
        <row r="783">
          <cell r="A783">
            <v>61270</v>
          </cell>
        </row>
        <row r="784">
          <cell r="A784">
            <v>61301</v>
          </cell>
        </row>
        <row r="785">
          <cell r="A785">
            <v>61331</v>
          </cell>
        </row>
        <row r="786">
          <cell r="A786">
            <v>61362</v>
          </cell>
        </row>
        <row r="787">
          <cell r="A787">
            <v>61393</v>
          </cell>
        </row>
        <row r="788">
          <cell r="A788">
            <v>61422</v>
          </cell>
        </row>
        <row r="789">
          <cell r="A789">
            <v>61453</v>
          </cell>
        </row>
        <row r="790">
          <cell r="A790">
            <v>61483</v>
          </cell>
        </row>
        <row r="791">
          <cell r="A791">
            <v>61514</v>
          </cell>
        </row>
        <row r="792">
          <cell r="A792">
            <v>61544</v>
          </cell>
        </row>
        <row r="793">
          <cell r="A793">
            <v>61575</v>
          </cell>
        </row>
        <row r="794">
          <cell r="A794">
            <v>61606</v>
          </cell>
        </row>
        <row r="795">
          <cell r="A795">
            <v>61636</v>
          </cell>
        </row>
        <row r="796">
          <cell r="A796">
            <v>61667</v>
          </cell>
        </row>
        <row r="797">
          <cell r="A797">
            <v>61697</v>
          </cell>
        </row>
        <row r="798">
          <cell r="A798">
            <v>61728</v>
          </cell>
        </row>
        <row r="799">
          <cell r="A799">
            <v>61759</v>
          </cell>
        </row>
        <row r="800">
          <cell r="A800">
            <v>61787</v>
          </cell>
        </row>
        <row r="801">
          <cell r="A801">
            <v>61818</v>
          </cell>
        </row>
        <row r="802">
          <cell r="A802">
            <v>61848</v>
          </cell>
        </row>
        <row r="803">
          <cell r="A803">
            <v>61879</v>
          </cell>
        </row>
        <row r="804">
          <cell r="A804">
            <v>61909</v>
          </cell>
        </row>
        <row r="805">
          <cell r="A805">
            <v>61940</v>
          </cell>
        </row>
      </sheetData>
      <sheetData sheetId="13" refreshError="1"/>
      <sheetData sheetId="14" refreshError="1"/>
      <sheetData sheetId="15">
        <row r="1">
          <cell r="D1" t="str">
            <v>NIH or other Sponsors using the NIH Salary Cap</v>
          </cell>
        </row>
        <row r="2">
          <cell r="D2">
            <v>189600</v>
          </cell>
        </row>
        <row r="3">
          <cell r="D3" t="str">
            <v>NIH</v>
          </cell>
        </row>
        <row r="4">
          <cell r="D4" t="str">
            <v>NCI</v>
          </cell>
        </row>
        <row r="5">
          <cell r="D5" t="str">
            <v>NEI</v>
          </cell>
        </row>
        <row r="6">
          <cell r="D6" t="str">
            <v>NHLBI</v>
          </cell>
        </row>
        <row r="7">
          <cell r="D7" t="str">
            <v>NHGRI</v>
          </cell>
        </row>
        <row r="8">
          <cell r="D8" t="str">
            <v>NIA</v>
          </cell>
        </row>
        <row r="9">
          <cell r="D9" t="str">
            <v>NIAAA</v>
          </cell>
        </row>
        <row r="10">
          <cell r="D10" t="str">
            <v>NIAID</v>
          </cell>
        </row>
        <row r="11">
          <cell r="D11" t="str">
            <v>NIAMS</v>
          </cell>
        </row>
        <row r="12">
          <cell r="D12" t="str">
            <v>NIBIB</v>
          </cell>
        </row>
        <row r="13">
          <cell r="D13" t="str">
            <v>NICHD</v>
          </cell>
        </row>
        <row r="14">
          <cell r="D14" t="str">
            <v>NIDCD</v>
          </cell>
        </row>
        <row r="15">
          <cell r="D15" t="str">
            <v>NIDCR</v>
          </cell>
        </row>
        <row r="16">
          <cell r="D16" t="str">
            <v>NIDDK</v>
          </cell>
        </row>
        <row r="17">
          <cell r="D17" t="str">
            <v>NIDA</v>
          </cell>
        </row>
        <row r="18">
          <cell r="D18" t="str">
            <v>NIEHS</v>
          </cell>
        </row>
        <row r="19">
          <cell r="D19" t="str">
            <v>NIGMS</v>
          </cell>
        </row>
        <row r="20">
          <cell r="D20" t="str">
            <v>NIMH</v>
          </cell>
        </row>
        <row r="21">
          <cell r="D21" t="str">
            <v>NIMHD</v>
          </cell>
        </row>
        <row r="22">
          <cell r="D22" t="str">
            <v>NINDS</v>
          </cell>
        </row>
        <row r="23">
          <cell r="D23" t="str">
            <v>NINR</v>
          </cell>
        </row>
        <row r="24">
          <cell r="D24" t="str">
            <v>NLM</v>
          </cell>
        </row>
        <row r="25">
          <cell r="D25" t="str">
            <v>CC</v>
          </cell>
        </row>
        <row r="26">
          <cell r="D26" t="str">
            <v>CIT</v>
          </cell>
        </row>
        <row r="27">
          <cell r="D27" t="str">
            <v>CSR</v>
          </cell>
        </row>
        <row r="28">
          <cell r="D28" t="str">
            <v>FIC</v>
          </cell>
        </row>
        <row r="29">
          <cell r="D29" t="str">
            <v>NCATS</v>
          </cell>
        </row>
        <row r="30">
          <cell r="D30" t="str">
            <v>NCCIH</v>
          </cell>
        </row>
        <row r="31">
          <cell r="D31" t="str">
            <v>OD</v>
          </cell>
        </row>
        <row r="32">
          <cell r="D32" t="str">
            <v>NIH NCI</v>
          </cell>
        </row>
        <row r="33">
          <cell r="D33" t="str">
            <v>NIH NEI</v>
          </cell>
        </row>
        <row r="34">
          <cell r="D34" t="str">
            <v>NIH NHLBI</v>
          </cell>
        </row>
        <row r="35">
          <cell r="D35" t="str">
            <v>NIH NHGRI</v>
          </cell>
        </row>
        <row r="36">
          <cell r="D36" t="str">
            <v>NIH NIA</v>
          </cell>
        </row>
        <row r="37">
          <cell r="D37" t="str">
            <v>NIH NIAAA</v>
          </cell>
        </row>
        <row r="38">
          <cell r="D38" t="str">
            <v>NIH NIAID</v>
          </cell>
        </row>
        <row r="39">
          <cell r="D39" t="str">
            <v>NIH NIAMS</v>
          </cell>
        </row>
        <row r="40">
          <cell r="D40" t="str">
            <v>NIH NIBIB</v>
          </cell>
        </row>
        <row r="41">
          <cell r="D41" t="str">
            <v>NIH NICHD</v>
          </cell>
        </row>
        <row r="42">
          <cell r="D42" t="str">
            <v>NIH NIDCD</v>
          </cell>
        </row>
        <row r="43">
          <cell r="D43" t="str">
            <v>NIH NIDCR</v>
          </cell>
        </row>
        <row r="44">
          <cell r="D44" t="str">
            <v>NIH NIDDK</v>
          </cell>
        </row>
        <row r="45">
          <cell r="D45" t="str">
            <v>NIH NIDA</v>
          </cell>
        </row>
        <row r="46">
          <cell r="D46" t="str">
            <v>NIH NIEHS</v>
          </cell>
        </row>
        <row r="47">
          <cell r="D47" t="str">
            <v>NIH NIGMS</v>
          </cell>
        </row>
        <row r="48">
          <cell r="D48" t="str">
            <v>NIH NIMH</v>
          </cell>
        </row>
        <row r="49">
          <cell r="D49" t="str">
            <v>NIH NIMHD</v>
          </cell>
        </row>
        <row r="50">
          <cell r="D50" t="str">
            <v>NIH NINDS</v>
          </cell>
        </row>
        <row r="51">
          <cell r="D51" t="str">
            <v>NIH NINR</v>
          </cell>
        </row>
        <row r="52">
          <cell r="D52" t="str">
            <v>NIH NLM</v>
          </cell>
        </row>
        <row r="53">
          <cell r="D53" t="str">
            <v>NIH CC</v>
          </cell>
        </row>
        <row r="54">
          <cell r="D54" t="str">
            <v>NIH CIT</v>
          </cell>
        </row>
        <row r="55">
          <cell r="D55" t="str">
            <v>NIH CSR</v>
          </cell>
        </row>
        <row r="56">
          <cell r="D56" t="str">
            <v>NIH FIC</v>
          </cell>
        </row>
        <row r="57">
          <cell r="D57" t="str">
            <v>NIH NCATS</v>
          </cell>
        </row>
        <row r="58">
          <cell r="D58" t="str">
            <v>NIH NCCIH</v>
          </cell>
        </row>
        <row r="59">
          <cell r="D59" t="str">
            <v>NIH OD</v>
          </cell>
        </row>
        <row r="60">
          <cell r="D60" t="str">
            <v>National Cancer Institute</v>
          </cell>
        </row>
        <row r="61">
          <cell r="D61" t="str">
            <v>National Eye Institute</v>
          </cell>
        </row>
        <row r="62">
          <cell r="D62" t="str">
            <v>National Heart, Lung, and Blood Institute</v>
          </cell>
        </row>
        <row r="63">
          <cell r="D63" t="str">
            <v>National Human Genome Research Institute</v>
          </cell>
        </row>
        <row r="64">
          <cell r="D64" t="str">
            <v>National Institute on Aging</v>
          </cell>
        </row>
        <row r="65">
          <cell r="D65" t="str">
            <v>National Institute on Alcohol Abuse and Alcoholism</v>
          </cell>
        </row>
        <row r="66">
          <cell r="D66" t="str">
            <v>National Institute of Allergy and Infectious Diseases</v>
          </cell>
        </row>
        <row r="67">
          <cell r="D67" t="str">
            <v>National Institute of Arthritis and Musculoskeletal and Skin Diseases</v>
          </cell>
        </row>
        <row r="68">
          <cell r="D68" t="str">
            <v>National Institute of Biomedical Imaging and Bioengineering</v>
          </cell>
        </row>
        <row r="69">
          <cell r="D69" t="str">
            <v>Eunice Kennedy Shriver National Institute of Child Health and Human Development</v>
          </cell>
        </row>
        <row r="70">
          <cell r="D70" t="str">
            <v>National Institute on Deafness and Other Communication Disorders</v>
          </cell>
        </row>
        <row r="71">
          <cell r="D71" t="str">
            <v>National Institute of Dental and Craniofacial Research</v>
          </cell>
        </row>
        <row r="72">
          <cell r="D72" t="str">
            <v>National Institute of Diabetes and Digestive and Kidney Diseases</v>
          </cell>
        </row>
        <row r="73">
          <cell r="D73" t="str">
            <v>National Institute on Drug Abuse</v>
          </cell>
        </row>
        <row r="74">
          <cell r="D74" t="str">
            <v>National Institute of Environmental Health Sciences</v>
          </cell>
        </row>
        <row r="75">
          <cell r="D75" t="str">
            <v>National Institute of General Medical Sciences</v>
          </cell>
        </row>
        <row r="76">
          <cell r="D76" t="str">
            <v>The National Institute of General Medical Sciences</v>
          </cell>
        </row>
        <row r="77">
          <cell r="D77" t="str">
            <v>National Institute of General Medical Sciences</v>
          </cell>
        </row>
        <row r="78">
          <cell r="D78" t="str">
            <v>National Institute of Mental Health</v>
          </cell>
        </row>
        <row r="79">
          <cell r="D79" t="str">
            <v>National Institute on Minority Health and Health Disparities</v>
          </cell>
        </row>
        <row r="80">
          <cell r="D80" t="str">
            <v>National Institute of Neurological Disorders and Stroke</v>
          </cell>
        </row>
        <row r="81">
          <cell r="D81" t="str">
            <v>National Institute of Nursing Research</v>
          </cell>
        </row>
        <row r="82">
          <cell r="D82" t="str">
            <v>National Library of Medicine</v>
          </cell>
        </row>
        <row r="83">
          <cell r="D83" t="str">
            <v>NIH Clinical Center</v>
          </cell>
        </row>
        <row r="84">
          <cell r="D84" t="str">
            <v>Center for Information Technology</v>
          </cell>
        </row>
        <row r="85">
          <cell r="D85" t="str">
            <v>Center for Scientific Review</v>
          </cell>
        </row>
        <row r="86">
          <cell r="D86" t="str">
            <v>Fogarty International Center</v>
          </cell>
        </row>
        <row r="87">
          <cell r="D87" t="str">
            <v>National Center for Advancing Translational Sciences</v>
          </cell>
        </row>
        <row r="88">
          <cell r="D88" t="str">
            <v>National Center for Complementary and Integrative Health</v>
          </cell>
        </row>
        <row r="89">
          <cell r="D89" t="str">
            <v>National Institutes of Health</v>
          </cell>
        </row>
        <row r="90">
          <cell r="D90" t="str">
            <v>National Institute of Health</v>
          </cell>
        </row>
        <row r="91">
          <cell r="D91" t="str">
            <v>PHS</v>
          </cell>
        </row>
        <row r="92">
          <cell r="D92" t="str">
            <v>Public Health Service</v>
          </cell>
        </row>
        <row r="93">
          <cell r="D93" t="str">
            <v>Other Sponsors using the NIH salary cap</v>
          </cell>
        </row>
        <row r="94">
          <cell r="D94" t="str">
            <v>JDRF</v>
          </cell>
        </row>
        <row r="95">
          <cell r="D95" t="str">
            <v>Juvenile Diabetes Research Foundation</v>
          </cell>
        </row>
        <row r="96">
          <cell r="D96" t="str">
            <v>AICR</v>
          </cell>
        </row>
        <row r="97">
          <cell r="D97" t="str">
            <v>American Institute for Cancer Research</v>
          </cell>
        </row>
        <row r="98">
          <cell r="D98" t="str">
            <v>Alex's Lemonade Stand</v>
          </cell>
        </row>
        <row r="99">
          <cell r="D99" t="str">
            <v>Alex's Lemonade Stand Foundation</v>
          </cell>
        </row>
        <row r="100">
          <cell r="D100" t="str">
            <v>ALSF</v>
          </cell>
        </row>
        <row r="101">
          <cell r="D101" t="str">
            <v>Greenwall Foundation</v>
          </cell>
        </row>
        <row r="102">
          <cell r="D102" t="str">
            <v>Greenwall</v>
          </cell>
        </row>
        <row r="103">
          <cell r="D103" t="str">
            <v>Ovarian Cancer Research Fund</v>
          </cell>
        </row>
        <row r="104">
          <cell r="D104" t="str">
            <v>OCRF</v>
          </cell>
        </row>
        <row r="105">
          <cell r="D105" t="str">
            <v>Progeria Research Foundation</v>
          </cell>
        </row>
        <row r="106">
          <cell r="D106" t="str">
            <v>Progeria</v>
          </cell>
        </row>
        <row r="107">
          <cell r="D107" t="str">
            <v>Rheumatology Research Foundation</v>
          </cell>
        </row>
        <row r="108">
          <cell r="D108" t="str">
            <v>American Heart Association</v>
          </cell>
        </row>
        <row r="109">
          <cell r="D109" t="str">
            <v>AHA</v>
          </cell>
        </row>
      </sheetData>
      <sheetData sheetId="16"/>
      <sheetData sheetId="17"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of All Years"/>
      <sheetName val="YEAR1"/>
      <sheetName val="YEAR2"/>
      <sheetName val="YEAR3"/>
      <sheetName val="YEAR4"/>
      <sheetName val="YEAR5"/>
      <sheetName val="Cumulative Budget"/>
      <sheetName val="Budget Justification"/>
      <sheetName val="Appendix A-Effort Calculator"/>
      <sheetName val="Appendix B-Grants.gov Form Info"/>
      <sheetName val="Appendix C-Facility Rate Tables"/>
      <sheetName val="Lists"/>
    </sheetNames>
    <sheetDataSet>
      <sheetData sheetId="0"/>
      <sheetData sheetId="1"/>
      <sheetData sheetId="2"/>
      <sheetData sheetId="3"/>
      <sheetData sheetId="4"/>
      <sheetData sheetId="5"/>
      <sheetData sheetId="6"/>
      <sheetData sheetId="7"/>
      <sheetData sheetId="8"/>
      <sheetData sheetId="9"/>
      <sheetData sheetId="10"/>
      <sheetData sheetId="11">
        <row r="2">
          <cell r="A2">
            <v>37499</v>
          </cell>
        </row>
        <row r="3">
          <cell r="A3">
            <v>37529</v>
          </cell>
        </row>
        <row r="4">
          <cell r="A4">
            <v>37560</v>
          </cell>
        </row>
        <row r="5">
          <cell r="A5">
            <v>37590</v>
          </cell>
        </row>
        <row r="6">
          <cell r="A6">
            <v>37621</v>
          </cell>
        </row>
        <row r="7">
          <cell r="A7">
            <v>37652</v>
          </cell>
        </row>
        <row r="8">
          <cell r="A8">
            <v>37680</v>
          </cell>
        </row>
        <row r="9">
          <cell r="A9">
            <v>37711</v>
          </cell>
        </row>
        <row r="10">
          <cell r="A10">
            <v>37741</v>
          </cell>
        </row>
        <row r="11">
          <cell r="A11">
            <v>37772</v>
          </cell>
        </row>
        <row r="12">
          <cell r="A12">
            <v>37802</v>
          </cell>
        </row>
        <row r="13">
          <cell r="A13">
            <v>37833</v>
          </cell>
        </row>
        <row r="14">
          <cell r="A14">
            <v>37864</v>
          </cell>
        </row>
        <row r="15">
          <cell r="A15">
            <v>37894</v>
          </cell>
        </row>
        <row r="16">
          <cell r="A16">
            <v>37925</v>
          </cell>
        </row>
        <row r="17">
          <cell r="A17">
            <v>37955</v>
          </cell>
        </row>
        <row r="18">
          <cell r="A18">
            <v>37986</v>
          </cell>
        </row>
        <row r="19">
          <cell r="A19">
            <v>38017</v>
          </cell>
        </row>
        <row r="20">
          <cell r="A20">
            <v>38046</v>
          </cell>
        </row>
        <row r="21">
          <cell r="A21">
            <v>38077</v>
          </cell>
        </row>
        <row r="22">
          <cell r="A22">
            <v>38107</v>
          </cell>
        </row>
        <row r="23">
          <cell r="A23">
            <v>38138</v>
          </cell>
        </row>
        <row r="24">
          <cell r="A24">
            <v>38168</v>
          </cell>
        </row>
        <row r="25">
          <cell r="A25">
            <v>38199</v>
          </cell>
        </row>
        <row r="26">
          <cell r="A26">
            <v>38230</v>
          </cell>
        </row>
        <row r="27">
          <cell r="A27">
            <v>38260</v>
          </cell>
        </row>
        <row r="28">
          <cell r="A28">
            <v>38291</v>
          </cell>
        </row>
        <row r="29">
          <cell r="A29">
            <v>38321</v>
          </cell>
        </row>
        <row r="30">
          <cell r="A30">
            <v>38352</v>
          </cell>
        </row>
        <row r="31">
          <cell r="A31">
            <v>38383</v>
          </cell>
        </row>
        <row r="32">
          <cell r="A32">
            <v>38411</v>
          </cell>
        </row>
        <row r="33">
          <cell r="A33">
            <v>38442</v>
          </cell>
        </row>
        <row r="34">
          <cell r="A34">
            <v>38472</v>
          </cell>
        </row>
        <row r="35">
          <cell r="A35">
            <v>38503</v>
          </cell>
        </row>
        <row r="36">
          <cell r="A36">
            <v>38533</v>
          </cell>
        </row>
        <row r="37">
          <cell r="A37">
            <v>38564</v>
          </cell>
        </row>
        <row r="38">
          <cell r="A38">
            <v>38595</v>
          </cell>
        </row>
        <row r="39">
          <cell r="A39">
            <v>38625</v>
          </cell>
        </row>
        <row r="40">
          <cell r="A40">
            <v>38656</v>
          </cell>
        </row>
        <row r="41">
          <cell r="A41">
            <v>38686</v>
          </cell>
        </row>
        <row r="42">
          <cell r="A42">
            <v>38717</v>
          </cell>
        </row>
        <row r="43">
          <cell r="A43">
            <v>38748</v>
          </cell>
        </row>
        <row r="44">
          <cell r="A44">
            <v>38776</v>
          </cell>
        </row>
        <row r="45">
          <cell r="A45">
            <v>38807</v>
          </cell>
        </row>
        <row r="46">
          <cell r="A46">
            <v>38837</v>
          </cell>
        </row>
        <row r="47">
          <cell r="A47">
            <v>38868</v>
          </cell>
        </row>
        <row r="48">
          <cell r="A48">
            <v>38898</v>
          </cell>
        </row>
        <row r="49">
          <cell r="A49">
            <v>38929</v>
          </cell>
        </row>
        <row r="50">
          <cell r="A50">
            <v>38960</v>
          </cell>
        </row>
        <row r="51">
          <cell r="A51">
            <v>38990</v>
          </cell>
        </row>
        <row r="52">
          <cell r="A52">
            <v>39021</v>
          </cell>
        </row>
        <row r="53">
          <cell r="A53">
            <v>39051</v>
          </cell>
        </row>
        <row r="54">
          <cell r="A54">
            <v>39082</v>
          </cell>
        </row>
        <row r="55">
          <cell r="A55">
            <v>39113</v>
          </cell>
        </row>
        <row r="56">
          <cell r="A56">
            <v>39141</v>
          </cell>
        </row>
        <row r="57">
          <cell r="A57">
            <v>39172</v>
          </cell>
        </row>
        <row r="58">
          <cell r="A58">
            <v>39202</v>
          </cell>
        </row>
        <row r="59">
          <cell r="A59">
            <v>39233</v>
          </cell>
        </row>
        <row r="60">
          <cell r="A60">
            <v>39263</v>
          </cell>
        </row>
        <row r="61">
          <cell r="A61">
            <v>39294</v>
          </cell>
        </row>
        <row r="62">
          <cell r="A62">
            <v>39325</v>
          </cell>
        </row>
        <row r="63">
          <cell r="A63">
            <v>39355</v>
          </cell>
        </row>
        <row r="64">
          <cell r="A64">
            <v>39386</v>
          </cell>
        </row>
        <row r="65">
          <cell r="A65">
            <v>39416</v>
          </cell>
        </row>
        <row r="66">
          <cell r="A66">
            <v>39447</v>
          </cell>
        </row>
        <row r="67">
          <cell r="A67">
            <v>39478</v>
          </cell>
        </row>
        <row r="68">
          <cell r="A68">
            <v>39507</v>
          </cell>
        </row>
        <row r="69">
          <cell r="A69">
            <v>39538</v>
          </cell>
        </row>
        <row r="70">
          <cell r="A70">
            <v>39568</v>
          </cell>
        </row>
        <row r="71">
          <cell r="A71">
            <v>39599</v>
          </cell>
        </row>
        <row r="72">
          <cell r="A72">
            <v>39629</v>
          </cell>
        </row>
        <row r="73">
          <cell r="A73">
            <v>39660</v>
          </cell>
        </row>
        <row r="74">
          <cell r="A74">
            <v>39691</v>
          </cell>
        </row>
        <row r="75">
          <cell r="A75">
            <v>39721</v>
          </cell>
        </row>
        <row r="76">
          <cell r="A76">
            <v>39752</v>
          </cell>
        </row>
        <row r="77">
          <cell r="A77">
            <v>39782</v>
          </cell>
        </row>
        <row r="78">
          <cell r="A78">
            <v>39813</v>
          </cell>
        </row>
        <row r="79">
          <cell r="A79">
            <v>39844</v>
          </cell>
        </row>
        <row r="80">
          <cell r="A80">
            <v>39872</v>
          </cell>
        </row>
        <row r="81">
          <cell r="A81">
            <v>39903</v>
          </cell>
        </row>
        <row r="82">
          <cell r="A82">
            <v>39933</v>
          </cell>
        </row>
        <row r="83">
          <cell r="A83">
            <v>39964</v>
          </cell>
        </row>
        <row r="84">
          <cell r="A84">
            <v>39994</v>
          </cell>
        </row>
        <row r="85">
          <cell r="A85">
            <v>40025</v>
          </cell>
        </row>
        <row r="86">
          <cell r="A86">
            <v>40056</v>
          </cell>
        </row>
        <row r="87">
          <cell r="A87">
            <v>40086</v>
          </cell>
        </row>
        <row r="88">
          <cell r="A88">
            <v>40117</v>
          </cell>
        </row>
        <row r="89">
          <cell r="A89">
            <v>40147</v>
          </cell>
        </row>
        <row r="90">
          <cell r="A90">
            <v>40178</v>
          </cell>
        </row>
        <row r="91">
          <cell r="A91">
            <v>40209</v>
          </cell>
        </row>
        <row r="92">
          <cell r="A92">
            <v>40237</v>
          </cell>
        </row>
        <row r="93">
          <cell r="A93">
            <v>40268</v>
          </cell>
        </row>
        <row r="94">
          <cell r="A94">
            <v>40298</v>
          </cell>
        </row>
        <row r="95">
          <cell r="A95">
            <v>40329</v>
          </cell>
        </row>
        <row r="96">
          <cell r="A96">
            <v>40359</v>
          </cell>
        </row>
        <row r="97">
          <cell r="A97">
            <v>40390</v>
          </cell>
        </row>
        <row r="98">
          <cell r="A98">
            <v>40421</v>
          </cell>
        </row>
        <row r="99">
          <cell r="A99">
            <v>40451</v>
          </cell>
        </row>
        <row r="100">
          <cell r="A100">
            <v>40482</v>
          </cell>
        </row>
        <row r="101">
          <cell r="A101">
            <v>40512</v>
          </cell>
        </row>
        <row r="102">
          <cell r="A102">
            <v>40543</v>
          </cell>
        </row>
        <row r="103">
          <cell r="A103">
            <v>40574</v>
          </cell>
        </row>
        <row r="104">
          <cell r="A104">
            <v>40602</v>
          </cell>
        </row>
        <row r="105">
          <cell r="A105">
            <v>40633</v>
          </cell>
        </row>
        <row r="106">
          <cell r="A106">
            <v>40663</v>
          </cell>
        </row>
        <row r="107">
          <cell r="A107">
            <v>40694</v>
          </cell>
        </row>
        <row r="108">
          <cell r="A108">
            <v>40724</v>
          </cell>
        </row>
        <row r="109">
          <cell r="A109">
            <v>40755</v>
          </cell>
        </row>
        <row r="110">
          <cell r="A110">
            <v>40786</v>
          </cell>
        </row>
        <row r="111">
          <cell r="A111">
            <v>40816</v>
          </cell>
        </row>
        <row r="112">
          <cell r="A112">
            <v>40847</v>
          </cell>
        </row>
        <row r="113">
          <cell r="A113">
            <v>40877</v>
          </cell>
        </row>
        <row r="114">
          <cell r="A114">
            <v>40908</v>
          </cell>
        </row>
        <row r="115">
          <cell r="A115">
            <v>40939</v>
          </cell>
        </row>
        <row r="116">
          <cell r="A116">
            <v>40968</v>
          </cell>
        </row>
        <row r="117">
          <cell r="A117">
            <v>40999</v>
          </cell>
        </row>
        <row r="118">
          <cell r="A118">
            <v>41029</v>
          </cell>
        </row>
        <row r="119">
          <cell r="A119">
            <v>41060</v>
          </cell>
        </row>
        <row r="120">
          <cell r="A120">
            <v>41090</v>
          </cell>
        </row>
        <row r="121">
          <cell r="A121">
            <v>41121</v>
          </cell>
        </row>
        <row r="122">
          <cell r="A122">
            <v>41152</v>
          </cell>
        </row>
        <row r="123">
          <cell r="A123">
            <v>41182</v>
          </cell>
        </row>
        <row r="124">
          <cell r="A124">
            <v>41213</v>
          </cell>
        </row>
        <row r="125">
          <cell r="A125">
            <v>41243</v>
          </cell>
        </row>
        <row r="126">
          <cell r="A126">
            <v>41274</v>
          </cell>
        </row>
        <row r="127">
          <cell r="A127">
            <v>41305</v>
          </cell>
        </row>
        <row r="128">
          <cell r="A128">
            <v>41333</v>
          </cell>
        </row>
        <row r="129">
          <cell r="A129">
            <v>41364</v>
          </cell>
        </row>
        <row r="130">
          <cell r="A130">
            <v>41394</v>
          </cell>
        </row>
        <row r="131">
          <cell r="A131">
            <v>41425</v>
          </cell>
        </row>
        <row r="132">
          <cell r="A132">
            <v>41455</v>
          </cell>
        </row>
        <row r="133">
          <cell r="A133">
            <v>41486</v>
          </cell>
        </row>
        <row r="134">
          <cell r="A134">
            <v>41517</v>
          </cell>
        </row>
        <row r="135">
          <cell r="A135">
            <v>41547</v>
          </cell>
        </row>
        <row r="136">
          <cell r="A136">
            <v>41578</v>
          </cell>
        </row>
        <row r="137">
          <cell r="A137">
            <v>41608</v>
          </cell>
        </row>
        <row r="138">
          <cell r="A138">
            <v>41639</v>
          </cell>
        </row>
        <row r="139">
          <cell r="A139">
            <v>41670</v>
          </cell>
        </row>
        <row r="140">
          <cell r="A140">
            <v>41698</v>
          </cell>
        </row>
        <row r="141">
          <cell r="A141">
            <v>41729</v>
          </cell>
        </row>
        <row r="142">
          <cell r="A142">
            <v>41759</v>
          </cell>
        </row>
        <row r="143">
          <cell r="A143">
            <v>41790</v>
          </cell>
        </row>
        <row r="144">
          <cell r="A144">
            <v>41820</v>
          </cell>
        </row>
        <row r="145">
          <cell r="A145">
            <v>41851</v>
          </cell>
        </row>
        <row r="146">
          <cell r="A146">
            <v>41882</v>
          </cell>
        </row>
        <row r="147">
          <cell r="A147">
            <v>41912</v>
          </cell>
        </row>
        <row r="148">
          <cell r="A148">
            <v>41943</v>
          </cell>
        </row>
        <row r="149">
          <cell r="A149">
            <v>41973</v>
          </cell>
        </row>
        <row r="150">
          <cell r="A150">
            <v>42004</v>
          </cell>
        </row>
        <row r="151">
          <cell r="A151">
            <v>42035</v>
          </cell>
        </row>
        <row r="152">
          <cell r="A152">
            <v>42063</v>
          </cell>
        </row>
        <row r="153">
          <cell r="A153">
            <v>42094</v>
          </cell>
        </row>
        <row r="154">
          <cell r="A154">
            <v>42124</v>
          </cell>
        </row>
        <row r="155">
          <cell r="A155">
            <v>42155</v>
          </cell>
        </row>
        <row r="156">
          <cell r="A156">
            <v>42185</v>
          </cell>
        </row>
        <row r="157">
          <cell r="A157">
            <v>42216</v>
          </cell>
        </row>
        <row r="158">
          <cell r="A158">
            <v>42247</v>
          </cell>
        </row>
        <row r="159">
          <cell r="A159">
            <v>42277</v>
          </cell>
        </row>
        <row r="160">
          <cell r="A160">
            <v>42308</v>
          </cell>
        </row>
        <row r="161">
          <cell r="A161">
            <v>42338</v>
          </cell>
        </row>
        <row r="162">
          <cell r="A162">
            <v>42369</v>
          </cell>
        </row>
        <row r="163">
          <cell r="A163">
            <v>42400</v>
          </cell>
        </row>
        <row r="164">
          <cell r="A164">
            <v>42429</v>
          </cell>
        </row>
        <row r="165">
          <cell r="A165">
            <v>42460</v>
          </cell>
        </row>
        <row r="166">
          <cell r="A166">
            <v>42490</v>
          </cell>
        </row>
        <row r="167">
          <cell r="A167">
            <v>42521</v>
          </cell>
        </row>
        <row r="168">
          <cell r="A168">
            <v>42551</v>
          </cell>
        </row>
        <row r="169">
          <cell r="A169">
            <v>42582</v>
          </cell>
        </row>
        <row r="170">
          <cell r="A170">
            <v>42613</v>
          </cell>
        </row>
        <row r="171">
          <cell r="A171">
            <v>42643</v>
          </cell>
        </row>
        <row r="172">
          <cell r="A172">
            <v>42674</v>
          </cell>
        </row>
        <row r="173">
          <cell r="A173">
            <v>42704</v>
          </cell>
        </row>
        <row r="174">
          <cell r="A174">
            <v>42735</v>
          </cell>
        </row>
        <row r="175">
          <cell r="A175">
            <v>42766</v>
          </cell>
        </row>
        <row r="176">
          <cell r="A176">
            <v>42794</v>
          </cell>
        </row>
        <row r="177">
          <cell r="A177">
            <v>42825</v>
          </cell>
        </row>
        <row r="178">
          <cell r="A178">
            <v>42855</v>
          </cell>
        </row>
        <row r="179">
          <cell r="A179">
            <v>42886</v>
          </cell>
        </row>
        <row r="180">
          <cell r="A180">
            <v>42916</v>
          </cell>
        </row>
        <row r="181">
          <cell r="A181">
            <v>42947</v>
          </cell>
        </row>
        <row r="182">
          <cell r="A182">
            <v>42978</v>
          </cell>
        </row>
        <row r="183">
          <cell r="A183">
            <v>43008</v>
          </cell>
        </row>
        <row r="184">
          <cell r="A184">
            <v>43039</v>
          </cell>
        </row>
        <row r="185">
          <cell r="A185">
            <v>43069</v>
          </cell>
        </row>
        <row r="186">
          <cell r="A186">
            <v>43100</v>
          </cell>
        </row>
        <row r="187">
          <cell r="A187">
            <v>43131</v>
          </cell>
        </row>
        <row r="188">
          <cell r="A188">
            <v>43159</v>
          </cell>
        </row>
        <row r="189">
          <cell r="A189">
            <v>43190</v>
          </cell>
        </row>
        <row r="190">
          <cell r="A190">
            <v>43220</v>
          </cell>
        </row>
        <row r="191">
          <cell r="A191">
            <v>43251</v>
          </cell>
        </row>
        <row r="192">
          <cell r="A192">
            <v>43281</v>
          </cell>
        </row>
        <row r="193">
          <cell r="A193">
            <v>43312</v>
          </cell>
        </row>
        <row r="194">
          <cell r="A194">
            <v>43343</v>
          </cell>
        </row>
        <row r="195">
          <cell r="A195">
            <v>43373</v>
          </cell>
        </row>
        <row r="196">
          <cell r="A196">
            <v>43404</v>
          </cell>
        </row>
        <row r="197">
          <cell r="A197">
            <v>43434</v>
          </cell>
        </row>
        <row r="198">
          <cell r="A198">
            <v>43465</v>
          </cell>
        </row>
        <row r="199">
          <cell r="A199">
            <v>43496</v>
          </cell>
        </row>
        <row r="200">
          <cell r="A200">
            <v>43524</v>
          </cell>
        </row>
        <row r="201">
          <cell r="A201">
            <v>43555</v>
          </cell>
        </row>
        <row r="202">
          <cell r="A202">
            <v>43585</v>
          </cell>
        </row>
        <row r="203">
          <cell r="A203">
            <v>43616</v>
          </cell>
        </row>
        <row r="204">
          <cell r="A204">
            <v>43646</v>
          </cell>
        </row>
        <row r="205">
          <cell r="A205">
            <v>43677</v>
          </cell>
        </row>
        <row r="206">
          <cell r="A206">
            <v>43708</v>
          </cell>
        </row>
        <row r="207">
          <cell r="A207">
            <v>43738</v>
          </cell>
        </row>
        <row r="208">
          <cell r="A208">
            <v>43769</v>
          </cell>
        </row>
        <row r="209">
          <cell r="A209">
            <v>43799</v>
          </cell>
        </row>
        <row r="210">
          <cell r="A210">
            <v>43830</v>
          </cell>
        </row>
        <row r="211">
          <cell r="A211">
            <v>43861</v>
          </cell>
        </row>
        <row r="212">
          <cell r="A212">
            <v>43890</v>
          </cell>
        </row>
        <row r="213">
          <cell r="A213">
            <v>43921</v>
          </cell>
        </row>
        <row r="214">
          <cell r="A214">
            <v>43951</v>
          </cell>
        </row>
        <row r="215">
          <cell r="A215">
            <v>43982</v>
          </cell>
        </row>
        <row r="216">
          <cell r="A216">
            <v>44012</v>
          </cell>
        </row>
        <row r="217">
          <cell r="A217">
            <v>44043</v>
          </cell>
        </row>
        <row r="218">
          <cell r="A218">
            <v>44074</v>
          </cell>
        </row>
        <row r="219">
          <cell r="A219">
            <v>44104</v>
          </cell>
        </row>
        <row r="220">
          <cell r="A220">
            <v>44135</v>
          </cell>
        </row>
        <row r="221">
          <cell r="A221">
            <v>44165</v>
          </cell>
        </row>
        <row r="222">
          <cell r="A222">
            <v>44196</v>
          </cell>
        </row>
        <row r="223">
          <cell r="A223">
            <v>44227</v>
          </cell>
        </row>
        <row r="224">
          <cell r="A224">
            <v>44255</v>
          </cell>
        </row>
        <row r="225">
          <cell r="A225">
            <v>44286</v>
          </cell>
        </row>
        <row r="226">
          <cell r="A226">
            <v>44316</v>
          </cell>
        </row>
        <row r="227">
          <cell r="A227">
            <v>44347</v>
          </cell>
        </row>
        <row r="228">
          <cell r="A228">
            <v>44377</v>
          </cell>
        </row>
        <row r="229">
          <cell r="A229">
            <v>44408</v>
          </cell>
        </row>
        <row r="230">
          <cell r="A230">
            <v>44439</v>
          </cell>
        </row>
        <row r="231">
          <cell r="A231">
            <v>44469</v>
          </cell>
        </row>
        <row r="232">
          <cell r="A232">
            <v>44500</v>
          </cell>
        </row>
        <row r="233">
          <cell r="A233">
            <v>44530</v>
          </cell>
        </row>
        <row r="234">
          <cell r="A234">
            <v>44561</v>
          </cell>
        </row>
        <row r="235">
          <cell r="A235">
            <v>44592</v>
          </cell>
        </row>
        <row r="236">
          <cell r="A236">
            <v>44620</v>
          </cell>
        </row>
        <row r="237">
          <cell r="A237">
            <v>44651</v>
          </cell>
        </row>
        <row r="238">
          <cell r="A238">
            <v>44681</v>
          </cell>
        </row>
        <row r="239">
          <cell r="A239">
            <v>44712</v>
          </cell>
        </row>
        <row r="240">
          <cell r="A240">
            <v>44742</v>
          </cell>
        </row>
        <row r="241">
          <cell r="A241">
            <v>44773</v>
          </cell>
        </row>
        <row r="242">
          <cell r="A242">
            <v>44804</v>
          </cell>
        </row>
        <row r="243">
          <cell r="A243">
            <v>44834</v>
          </cell>
        </row>
        <row r="244">
          <cell r="A244">
            <v>44865</v>
          </cell>
        </row>
        <row r="245">
          <cell r="A245">
            <v>44895</v>
          </cell>
        </row>
        <row r="246">
          <cell r="A246">
            <v>44926</v>
          </cell>
        </row>
        <row r="247">
          <cell r="A247">
            <v>44957</v>
          </cell>
        </row>
        <row r="248">
          <cell r="A248">
            <v>44985</v>
          </cell>
        </row>
        <row r="249">
          <cell r="A249">
            <v>45016</v>
          </cell>
        </row>
        <row r="250">
          <cell r="A250">
            <v>45046</v>
          </cell>
        </row>
        <row r="251">
          <cell r="A251">
            <v>45077</v>
          </cell>
        </row>
        <row r="252">
          <cell r="A252">
            <v>45107</v>
          </cell>
        </row>
        <row r="253">
          <cell r="A253">
            <v>45138</v>
          </cell>
        </row>
        <row r="254">
          <cell r="A254">
            <v>45169</v>
          </cell>
        </row>
        <row r="255">
          <cell r="A255">
            <v>45199</v>
          </cell>
        </row>
        <row r="256">
          <cell r="A256">
            <v>45230</v>
          </cell>
        </row>
        <row r="257">
          <cell r="A257">
            <v>45260</v>
          </cell>
        </row>
        <row r="258">
          <cell r="A258">
            <v>45291</v>
          </cell>
        </row>
        <row r="259">
          <cell r="A259">
            <v>45322</v>
          </cell>
        </row>
        <row r="260">
          <cell r="A260">
            <v>45351</v>
          </cell>
        </row>
        <row r="261">
          <cell r="A261">
            <v>45382</v>
          </cell>
        </row>
        <row r="262">
          <cell r="A262">
            <v>45412</v>
          </cell>
        </row>
        <row r="263">
          <cell r="A263">
            <v>45443</v>
          </cell>
        </row>
        <row r="264">
          <cell r="A264">
            <v>45473</v>
          </cell>
        </row>
        <row r="265">
          <cell r="A265">
            <v>45504</v>
          </cell>
        </row>
        <row r="266">
          <cell r="A266">
            <v>45535</v>
          </cell>
        </row>
        <row r="267">
          <cell r="A267">
            <v>45565</v>
          </cell>
        </row>
        <row r="268">
          <cell r="A268">
            <v>45596</v>
          </cell>
        </row>
        <row r="269">
          <cell r="A269">
            <v>45626</v>
          </cell>
        </row>
        <row r="270">
          <cell r="A270">
            <v>45657</v>
          </cell>
        </row>
        <row r="271">
          <cell r="A271">
            <v>45688</v>
          </cell>
        </row>
        <row r="272">
          <cell r="A272">
            <v>45716</v>
          </cell>
        </row>
        <row r="273">
          <cell r="A273">
            <v>45747</v>
          </cell>
        </row>
        <row r="274">
          <cell r="A274">
            <v>45777</v>
          </cell>
        </row>
        <row r="275">
          <cell r="A275">
            <v>45808</v>
          </cell>
        </row>
        <row r="276">
          <cell r="A276">
            <v>45838</v>
          </cell>
        </row>
        <row r="277">
          <cell r="A277">
            <v>45869</v>
          </cell>
        </row>
        <row r="278">
          <cell r="A278">
            <v>45900</v>
          </cell>
        </row>
        <row r="279">
          <cell r="A279">
            <v>45930</v>
          </cell>
        </row>
        <row r="280">
          <cell r="A280">
            <v>45961</v>
          </cell>
        </row>
        <row r="281">
          <cell r="A281">
            <v>45991</v>
          </cell>
        </row>
        <row r="282">
          <cell r="A282">
            <v>46022</v>
          </cell>
        </row>
        <row r="283">
          <cell r="A283">
            <v>46053</v>
          </cell>
        </row>
        <row r="284">
          <cell r="A284">
            <v>46081</v>
          </cell>
        </row>
        <row r="285">
          <cell r="A285">
            <v>46112</v>
          </cell>
        </row>
        <row r="286">
          <cell r="A286">
            <v>46142</v>
          </cell>
        </row>
        <row r="287">
          <cell r="A287">
            <v>46173</v>
          </cell>
        </row>
        <row r="288">
          <cell r="A288">
            <v>46203</v>
          </cell>
        </row>
        <row r="289">
          <cell r="A289">
            <v>46234</v>
          </cell>
        </row>
        <row r="290">
          <cell r="A290">
            <v>46265</v>
          </cell>
        </row>
        <row r="291">
          <cell r="A291">
            <v>46295</v>
          </cell>
        </row>
        <row r="292">
          <cell r="A292">
            <v>46326</v>
          </cell>
        </row>
        <row r="293">
          <cell r="A293">
            <v>46356</v>
          </cell>
        </row>
        <row r="294">
          <cell r="A294">
            <v>46387</v>
          </cell>
        </row>
        <row r="295">
          <cell r="A295">
            <v>46418</v>
          </cell>
        </row>
        <row r="296">
          <cell r="A296">
            <v>46446</v>
          </cell>
        </row>
        <row r="297">
          <cell r="A297">
            <v>46477</v>
          </cell>
        </row>
        <row r="298">
          <cell r="A298">
            <v>46507</v>
          </cell>
        </row>
        <row r="299">
          <cell r="A299">
            <v>46538</v>
          </cell>
        </row>
        <row r="300">
          <cell r="A300">
            <v>46568</v>
          </cell>
        </row>
        <row r="301">
          <cell r="A301">
            <v>46599</v>
          </cell>
        </row>
        <row r="302">
          <cell r="A302">
            <v>46630</v>
          </cell>
        </row>
        <row r="303">
          <cell r="A303">
            <v>46660</v>
          </cell>
        </row>
        <row r="304">
          <cell r="A304">
            <v>46691</v>
          </cell>
        </row>
        <row r="305">
          <cell r="A305">
            <v>46721</v>
          </cell>
        </row>
        <row r="306">
          <cell r="A306">
            <v>46752</v>
          </cell>
        </row>
        <row r="307">
          <cell r="A307">
            <v>46783</v>
          </cell>
        </row>
        <row r="308">
          <cell r="A308">
            <v>46812</v>
          </cell>
        </row>
        <row r="309">
          <cell r="A309">
            <v>46843</v>
          </cell>
        </row>
        <row r="310">
          <cell r="A310">
            <v>46873</v>
          </cell>
        </row>
        <row r="311">
          <cell r="A311">
            <v>46904</v>
          </cell>
        </row>
        <row r="312">
          <cell r="A312">
            <v>46934</v>
          </cell>
        </row>
        <row r="313">
          <cell r="A313">
            <v>46965</v>
          </cell>
        </row>
        <row r="314">
          <cell r="A314">
            <v>46996</v>
          </cell>
        </row>
        <row r="315">
          <cell r="A315">
            <v>47026</v>
          </cell>
        </row>
        <row r="316">
          <cell r="A316">
            <v>47057</v>
          </cell>
        </row>
        <row r="317">
          <cell r="A317">
            <v>47087</v>
          </cell>
        </row>
        <row r="318">
          <cell r="A318">
            <v>47118</v>
          </cell>
        </row>
        <row r="319">
          <cell r="A319">
            <v>47149</v>
          </cell>
        </row>
        <row r="320">
          <cell r="A320">
            <v>47177</v>
          </cell>
        </row>
        <row r="321">
          <cell r="A321">
            <v>47208</v>
          </cell>
        </row>
        <row r="322">
          <cell r="A322">
            <v>47238</v>
          </cell>
        </row>
        <row r="323">
          <cell r="A323">
            <v>47269</v>
          </cell>
        </row>
        <row r="324">
          <cell r="A324">
            <v>47299</v>
          </cell>
        </row>
        <row r="325">
          <cell r="A325">
            <v>47330</v>
          </cell>
        </row>
        <row r="326">
          <cell r="A326">
            <v>47361</v>
          </cell>
        </row>
        <row r="327">
          <cell r="A327">
            <v>47391</v>
          </cell>
        </row>
        <row r="328">
          <cell r="A328">
            <v>47422</v>
          </cell>
        </row>
        <row r="329">
          <cell r="A329">
            <v>47452</v>
          </cell>
        </row>
        <row r="330">
          <cell r="A330">
            <v>47483</v>
          </cell>
        </row>
        <row r="331">
          <cell r="A331">
            <v>47514</v>
          </cell>
        </row>
        <row r="332">
          <cell r="A332">
            <v>47542</v>
          </cell>
        </row>
        <row r="333">
          <cell r="A333">
            <v>47573</v>
          </cell>
        </row>
        <row r="334">
          <cell r="A334">
            <v>47603</v>
          </cell>
        </row>
        <row r="335">
          <cell r="A335">
            <v>47634</v>
          </cell>
        </row>
        <row r="336">
          <cell r="A336">
            <v>47664</v>
          </cell>
        </row>
        <row r="337">
          <cell r="A337">
            <v>47695</v>
          </cell>
        </row>
        <row r="338">
          <cell r="A338">
            <v>47726</v>
          </cell>
        </row>
        <row r="339">
          <cell r="A339">
            <v>47756</v>
          </cell>
        </row>
        <row r="340">
          <cell r="A340">
            <v>47787</v>
          </cell>
        </row>
        <row r="341">
          <cell r="A341">
            <v>47817</v>
          </cell>
        </row>
        <row r="342">
          <cell r="A342">
            <v>47848</v>
          </cell>
        </row>
        <row r="343">
          <cell r="A343">
            <v>47879</v>
          </cell>
        </row>
        <row r="344">
          <cell r="A344">
            <v>47907</v>
          </cell>
        </row>
        <row r="345">
          <cell r="A345">
            <v>47938</v>
          </cell>
        </row>
        <row r="346">
          <cell r="A346">
            <v>47968</v>
          </cell>
        </row>
        <row r="347">
          <cell r="A347">
            <v>47999</v>
          </cell>
        </row>
        <row r="348">
          <cell r="A348">
            <v>48029</v>
          </cell>
        </row>
        <row r="349">
          <cell r="A349">
            <v>48060</v>
          </cell>
        </row>
        <row r="350">
          <cell r="A350">
            <v>48091</v>
          </cell>
        </row>
        <row r="351">
          <cell r="A351">
            <v>48121</v>
          </cell>
        </row>
        <row r="352">
          <cell r="A352">
            <v>48152</v>
          </cell>
        </row>
        <row r="353">
          <cell r="A353">
            <v>48182</v>
          </cell>
        </row>
        <row r="354">
          <cell r="A354">
            <v>48213</v>
          </cell>
        </row>
        <row r="355">
          <cell r="A355">
            <v>48244</v>
          </cell>
        </row>
        <row r="356">
          <cell r="A356">
            <v>48273</v>
          </cell>
        </row>
        <row r="357">
          <cell r="A357">
            <v>48304</v>
          </cell>
        </row>
        <row r="358">
          <cell r="A358">
            <v>48334</v>
          </cell>
        </row>
        <row r="359">
          <cell r="A359">
            <v>48365</v>
          </cell>
        </row>
        <row r="360">
          <cell r="A360">
            <v>48395</v>
          </cell>
        </row>
        <row r="361">
          <cell r="A361">
            <v>48426</v>
          </cell>
        </row>
        <row r="362">
          <cell r="A362">
            <v>48457</v>
          </cell>
        </row>
        <row r="363">
          <cell r="A363">
            <v>48487</v>
          </cell>
        </row>
        <row r="364">
          <cell r="A364">
            <v>48518</v>
          </cell>
        </row>
        <row r="365">
          <cell r="A365">
            <v>48548</v>
          </cell>
        </row>
        <row r="366">
          <cell r="A366">
            <v>48579</v>
          </cell>
        </row>
        <row r="367">
          <cell r="A367">
            <v>48610</v>
          </cell>
        </row>
        <row r="368">
          <cell r="A368">
            <v>48638</v>
          </cell>
        </row>
        <row r="369">
          <cell r="A369">
            <v>48669</v>
          </cell>
        </row>
        <row r="370">
          <cell r="A370">
            <v>48699</v>
          </cell>
        </row>
        <row r="371">
          <cell r="A371">
            <v>48730</v>
          </cell>
        </row>
        <row r="372">
          <cell r="A372">
            <v>48760</v>
          </cell>
        </row>
        <row r="373">
          <cell r="A373">
            <v>48791</v>
          </cell>
        </row>
        <row r="374">
          <cell r="A374">
            <v>48822</v>
          </cell>
        </row>
        <row r="375">
          <cell r="A375">
            <v>48852</v>
          </cell>
        </row>
        <row r="376">
          <cell r="A376">
            <v>48883</v>
          </cell>
        </row>
        <row r="377">
          <cell r="A377">
            <v>48913</v>
          </cell>
        </row>
        <row r="378">
          <cell r="A378">
            <v>48944</v>
          </cell>
        </row>
        <row r="379">
          <cell r="A379">
            <v>48975</v>
          </cell>
        </row>
        <row r="380">
          <cell r="A380">
            <v>49003</v>
          </cell>
        </row>
        <row r="381">
          <cell r="A381">
            <v>49034</v>
          </cell>
        </row>
        <row r="382">
          <cell r="A382">
            <v>49064</v>
          </cell>
        </row>
        <row r="383">
          <cell r="A383">
            <v>49095</v>
          </cell>
        </row>
        <row r="384">
          <cell r="A384">
            <v>49125</v>
          </cell>
        </row>
        <row r="385">
          <cell r="A385">
            <v>49156</v>
          </cell>
        </row>
        <row r="386">
          <cell r="A386">
            <v>49187</v>
          </cell>
        </row>
        <row r="387">
          <cell r="A387">
            <v>49217</v>
          </cell>
        </row>
        <row r="388">
          <cell r="A388">
            <v>49248</v>
          </cell>
        </row>
        <row r="389">
          <cell r="A389">
            <v>49278</v>
          </cell>
        </row>
        <row r="390">
          <cell r="A390">
            <v>49309</v>
          </cell>
        </row>
        <row r="391">
          <cell r="A391">
            <v>49340</v>
          </cell>
        </row>
        <row r="392">
          <cell r="A392">
            <v>49368</v>
          </cell>
        </row>
        <row r="393">
          <cell r="A393">
            <v>49399</v>
          </cell>
        </row>
        <row r="394">
          <cell r="A394">
            <v>49429</v>
          </cell>
        </row>
        <row r="395">
          <cell r="A395">
            <v>49460</v>
          </cell>
        </row>
        <row r="396">
          <cell r="A396">
            <v>49490</v>
          </cell>
        </row>
        <row r="397">
          <cell r="A397">
            <v>49521</v>
          </cell>
        </row>
        <row r="398">
          <cell r="A398">
            <v>49552</v>
          </cell>
        </row>
        <row r="399">
          <cell r="A399">
            <v>49582</v>
          </cell>
        </row>
        <row r="400">
          <cell r="A400">
            <v>49613</v>
          </cell>
        </row>
        <row r="401">
          <cell r="A401">
            <v>49643</v>
          </cell>
        </row>
        <row r="402">
          <cell r="A402">
            <v>49674</v>
          </cell>
        </row>
        <row r="403">
          <cell r="A403">
            <v>49705</v>
          </cell>
        </row>
        <row r="404">
          <cell r="A404">
            <v>49734</v>
          </cell>
        </row>
        <row r="405">
          <cell r="A405">
            <v>49765</v>
          </cell>
        </row>
        <row r="406">
          <cell r="A406">
            <v>49795</v>
          </cell>
        </row>
        <row r="407">
          <cell r="A407">
            <v>49826</v>
          </cell>
        </row>
        <row r="408">
          <cell r="A408">
            <v>49856</v>
          </cell>
        </row>
        <row r="409">
          <cell r="A409">
            <v>49887</v>
          </cell>
        </row>
        <row r="410">
          <cell r="A410">
            <v>49918</v>
          </cell>
        </row>
        <row r="411">
          <cell r="A411">
            <v>49948</v>
          </cell>
        </row>
        <row r="412">
          <cell r="A412">
            <v>49979</v>
          </cell>
        </row>
        <row r="413">
          <cell r="A413">
            <v>50009</v>
          </cell>
        </row>
        <row r="414">
          <cell r="A414">
            <v>50040</v>
          </cell>
        </row>
        <row r="415">
          <cell r="A415">
            <v>50071</v>
          </cell>
        </row>
        <row r="416">
          <cell r="A416">
            <v>50099</v>
          </cell>
        </row>
        <row r="417">
          <cell r="A417">
            <v>50130</v>
          </cell>
        </row>
        <row r="418">
          <cell r="A418">
            <v>50160</v>
          </cell>
        </row>
        <row r="419">
          <cell r="A419">
            <v>50191</v>
          </cell>
        </row>
        <row r="420">
          <cell r="A420">
            <v>50221</v>
          </cell>
        </row>
        <row r="421">
          <cell r="A421">
            <v>50252</v>
          </cell>
        </row>
        <row r="422">
          <cell r="A422">
            <v>50283</v>
          </cell>
        </row>
        <row r="423">
          <cell r="A423">
            <v>50313</v>
          </cell>
        </row>
        <row r="424">
          <cell r="A424">
            <v>50344</v>
          </cell>
        </row>
        <row r="425">
          <cell r="A425">
            <v>50374</v>
          </cell>
        </row>
        <row r="426">
          <cell r="A426">
            <v>50405</v>
          </cell>
        </row>
        <row r="427">
          <cell r="A427">
            <v>50436</v>
          </cell>
        </row>
        <row r="428">
          <cell r="A428">
            <v>50464</v>
          </cell>
        </row>
        <row r="429">
          <cell r="A429">
            <v>50495</v>
          </cell>
        </row>
        <row r="430">
          <cell r="A430">
            <v>50525</v>
          </cell>
        </row>
        <row r="431">
          <cell r="A431">
            <v>50556</v>
          </cell>
        </row>
        <row r="432">
          <cell r="A432">
            <v>50586</v>
          </cell>
        </row>
        <row r="433">
          <cell r="A433">
            <v>50617</v>
          </cell>
        </row>
        <row r="434">
          <cell r="A434">
            <v>50648</v>
          </cell>
        </row>
        <row r="435">
          <cell r="A435">
            <v>50678</v>
          </cell>
        </row>
        <row r="436">
          <cell r="A436">
            <v>50709</v>
          </cell>
        </row>
        <row r="437">
          <cell r="A437">
            <v>50739</v>
          </cell>
        </row>
        <row r="438">
          <cell r="A438">
            <v>50770</v>
          </cell>
        </row>
        <row r="439">
          <cell r="A439">
            <v>50801</v>
          </cell>
        </row>
        <row r="440">
          <cell r="A440">
            <v>50829</v>
          </cell>
        </row>
        <row r="441">
          <cell r="A441">
            <v>50860</v>
          </cell>
        </row>
        <row r="442">
          <cell r="A442">
            <v>50890</v>
          </cell>
        </row>
        <row r="443">
          <cell r="A443">
            <v>50921</v>
          </cell>
        </row>
        <row r="444">
          <cell r="A444">
            <v>50951</v>
          </cell>
        </row>
        <row r="445">
          <cell r="A445">
            <v>50982</v>
          </cell>
        </row>
        <row r="446">
          <cell r="A446">
            <v>51013</v>
          </cell>
        </row>
        <row r="447">
          <cell r="A447">
            <v>51043</v>
          </cell>
        </row>
        <row r="448">
          <cell r="A448">
            <v>51074</v>
          </cell>
        </row>
        <row r="449">
          <cell r="A449">
            <v>51104</v>
          </cell>
        </row>
        <row r="450">
          <cell r="A450">
            <v>51135</v>
          </cell>
        </row>
        <row r="451">
          <cell r="A451">
            <v>51166</v>
          </cell>
        </row>
        <row r="452">
          <cell r="A452">
            <v>51195</v>
          </cell>
        </row>
        <row r="453">
          <cell r="A453">
            <v>51226</v>
          </cell>
        </row>
        <row r="454">
          <cell r="A454">
            <v>51256</v>
          </cell>
        </row>
        <row r="455">
          <cell r="A455">
            <v>51287</v>
          </cell>
        </row>
        <row r="456">
          <cell r="A456">
            <v>51317</v>
          </cell>
        </row>
        <row r="457">
          <cell r="A457">
            <v>51348</v>
          </cell>
        </row>
        <row r="458">
          <cell r="A458">
            <v>51379</v>
          </cell>
        </row>
        <row r="459">
          <cell r="A459">
            <v>51409</v>
          </cell>
        </row>
        <row r="460">
          <cell r="A460">
            <v>51440</v>
          </cell>
        </row>
        <row r="461">
          <cell r="A461">
            <v>51470</v>
          </cell>
        </row>
        <row r="462">
          <cell r="A462">
            <v>51501</v>
          </cell>
        </row>
        <row r="463">
          <cell r="A463">
            <v>51532</v>
          </cell>
        </row>
        <row r="464">
          <cell r="A464">
            <v>51560</v>
          </cell>
        </row>
        <row r="465">
          <cell r="A465">
            <v>51591</v>
          </cell>
        </row>
        <row r="466">
          <cell r="A466">
            <v>51621</v>
          </cell>
        </row>
        <row r="467">
          <cell r="A467">
            <v>51652</v>
          </cell>
        </row>
        <row r="468">
          <cell r="A468">
            <v>51682</v>
          </cell>
        </row>
        <row r="469">
          <cell r="A469">
            <v>51713</v>
          </cell>
        </row>
        <row r="470">
          <cell r="A470">
            <v>51744</v>
          </cell>
        </row>
        <row r="471">
          <cell r="A471">
            <v>51774</v>
          </cell>
        </row>
        <row r="472">
          <cell r="A472">
            <v>51805</v>
          </cell>
        </row>
        <row r="473">
          <cell r="A473">
            <v>51835</v>
          </cell>
        </row>
        <row r="474">
          <cell r="A474">
            <v>51866</v>
          </cell>
        </row>
        <row r="475">
          <cell r="A475">
            <v>51897</v>
          </cell>
        </row>
        <row r="476">
          <cell r="A476">
            <v>51925</v>
          </cell>
        </row>
        <row r="477">
          <cell r="A477">
            <v>51956</v>
          </cell>
        </row>
        <row r="478">
          <cell r="A478">
            <v>51986</v>
          </cell>
        </row>
        <row r="479">
          <cell r="A479">
            <v>52017</v>
          </cell>
        </row>
        <row r="480">
          <cell r="A480">
            <v>52047</v>
          </cell>
        </row>
        <row r="481">
          <cell r="A481">
            <v>52078</v>
          </cell>
        </row>
        <row r="482">
          <cell r="A482">
            <v>52109</v>
          </cell>
        </row>
        <row r="483">
          <cell r="A483">
            <v>52139</v>
          </cell>
        </row>
        <row r="484">
          <cell r="A484">
            <v>52170</v>
          </cell>
        </row>
        <row r="485">
          <cell r="A485">
            <v>52200</v>
          </cell>
        </row>
        <row r="486">
          <cell r="A486">
            <v>52231</v>
          </cell>
        </row>
        <row r="487">
          <cell r="A487">
            <v>52262</v>
          </cell>
        </row>
        <row r="488">
          <cell r="A488">
            <v>52290</v>
          </cell>
        </row>
        <row r="489">
          <cell r="A489">
            <v>52321</v>
          </cell>
        </row>
        <row r="490">
          <cell r="A490">
            <v>52351</v>
          </cell>
        </row>
        <row r="491">
          <cell r="A491">
            <v>52382</v>
          </cell>
        </row>
        <row r="492">
          <cell r="A492">
            <v>52412</v>
          </cell>
        </row>
        <row r="493">
          <cell r="A493">
            <v>52443</v>
          </cell>
        </row>
        <row r="494">
          <cell r="A494">
            <v>52474</v>
          </cell>
        </row>
        <row r="495">
          <cell r="A495">
            <v>52504</v>
          </cell>
        </row>
        <row r="496">
          <cell r="A496">
            <v>52535</v>
          </cell>
        </row>
        <row r="497">
          <cell r="A497">
            <v>52565</v>
          </cell>
        </row>
        <row r="498">
          <cell r="A498">
            <v>52596</v>
          </cell>
        </row>
        <row r="499">
          <cell r="A499">
            <v>52627</v>
          </cell>
        </row>
        <row r="500">
          <cell r="A500">
            <v>52656</v>
          </cell>
        </row>
        <row r="501">
          <cell r="A501">
            <v>52687</v>
          </cell>
        </row>
        <row r="502">
          <cell r="A502">
            <v>52717</v>
          </cell>
        </row>
        <row r="503">
          <cell r="A503">
            <v>52748</v>
          </cell>
        </row>
        <row r="504">
          <cell r="A504">
            <v>52778</v>
          </cell>
        </row>
        <row r="505">
          <cell r="A505">
            <v>52809</v>
          </cell>
        </row>
        <row r="506">
          <cell r="A506">
            <v>52840</v>
          </cell>
        </row>
        <row r="507">
          <cell r="A507">
            <v>52870</v>
          </cell>
        </row>
        <row r="508">
          <cell r="A508">
            <v>52901</v>
          </cell>
        </row>
        <row r="509">
          <cell r="A509">
            <v>52931</v>
          </cell>
        </row>
        <row r="510">
          <cell r="A510">
            <v>52962</v>
          </cell>
        </row>
        <row r="511">
          <cell r="A511">
            <v>52993</v>
          </cell>
        </row>
        <row r="512">
          <cell r="A512">
            <v>53021</v>
          </cell>
        </row>
        <row r="513">
          <cell r="A513">
            <v>53052</v>
          </cell>
        </row>
        <row r="514">
          <cell r="A514">
            <v>53082</v>
          </cell>
        </row>
        <row r="515">
          <cell r="A515">
            <v>53113</v>
          </cell>
        </row>
        <row r="516">
          <cell r="A516">
            <v>53143</v>
          </cell>
        </row>
        <row r="517">
          <cell r="A517">
            <v>53174</v>
          </cell>
        </row>
        <row r="518">
          <cell r="A518">
            <v>53205</v>
          </cell>
        </row>
        <row r="519">
          <cell r="A519">
            <v>53235</v>
          </cell>
        </row>
        <row r="520">
          <cell r="A520">
            <v>53266</v>
          </cell>
        </row>
        <row r="521">
          <cell r="A521">
            <v>53296</v>
          </cell>
        </row>
        <row r="522">
          <cell r="A522">
            <v>53327</v>
          </cell>
        </row>
        <row r="523">
          <cell r="A523">
            <v>53358</v>
          </cell>
        </row>
        <row r="524">
          <cell r="A524">
            <v>53386</v>
          </cell>
        </row>
        <row r="525">
          <cell r="A525">
            <v>53417</v>
          </cell>
        </row>
        <row r="526">
          <cell r="A526">
            <v>53447</v>
          </cell>
        </row>
        <row r="527">
          <cell r="A527">
            <v>53478</v>
          </cell>
        </row>
        <row r="528">
          <cell r="A528">
            <v>53508</v>
          </cell>
        </row>
        <row r="529">
          <cell r="A529">
            <v>53539</v>
          </cell>
        </row>
        <row r="530">
          <cell r="A530">
            <v>53570</v>
          </cell>
        </row>
        <row r="531">
          <cell r="A531">
            <v>53600</v>
          </cell>
        </row>
        <row r="532">
          <cell r="A532">
            <v>53631</v>
          </cell>
        </row>
        <row r="533">
          <cell r="A533">
            <v>53661</v>
          </cell>
        </row>
        <row r="534">
          <cell r="A534">
            <v>53692</v>
          </cell>
        </row>
        <row r="535">
          <cell r="A535">
            <v>53723</v>
          </cell>
        </row>
        <row r="536">
          <cell r="A536">
            <v>53751</v>
          </cell>
        </row>
        <row r="537">
          <cell r="A537">
            <v>53782</v>
          </cell>
        </row>
        <row r="538">
          <cell r="A538">
            <v>53812</v>
          </cell>
        </row>
        <row r="539">
          <cell r="A539">
            <v>53843</v>
          </cell>
        </row>
        <row r="540">
          <cell r="A540">
            <v>53873</v>
          </cell>
        </row>
        <row r="541">
          <cell r="A541">
            <v>53904</v>
          </cell>
        </row>
        <row r="542">
          <cell r="A542">
            <v>53935</v>
          </cell>
        </row>
        <row r="543">
          <cell r="A543">
            <v>53965</v>
          </cell>
        </row>
        <row r="544">
          <cell r="A544">
            <v>53996</v>
          </cell>
        </row>
        <row r="545">
          <cell r="A545">
            <v>54026</v>
          </cell>
        </row>
        <row r="546">
          <cell r="A546">
            <v>54057</v>
          </cell>
        </row>
        <row r="547">
          <cell r="A547">
            <v>54088</v>
          </cell>
        </row>
        <row r="548">
          <cell r="A548">
            <v>54117</v>
          </cell>
        </row>
        <row r="549">
          <cell r="A549">
            <v>54148</v>
          </cell>
        </row>
        <row r="550">
          <cell r="A550">
            <v>54178</v>
          </cell>
        </row>
        <row r="551">
          <cell r="A551">
            <v>54209</v>
          </cell>
        </row>
        <row r="552">
          <cell r="A552">
            <v>54239</v>
          </cell>
        </row>
        <row r="553">
          <cell r="A553">
            <v>54270</v>
          </cell>
        </row>
        <row r="554">
          <cell r="A554">
            <v>54301</v>
          </cell>
        </row>
        <row r="555">
          <cell r="A555">
            <v>54331</v>
          </cell>
        </row>
        <row r="556">
          <cell r="A556">
            <v>54362</v>
          </cell>
        </row>
        <row r="557">
          <cell r="A557">
            <v>54392</v>
          </cell>
        </row>
        <row r="558">
          <cell r="A558">
            <v>54423</v>
          </cell>
        </row>
        <row r="559">
          <cell r="A559">
            <v>54454</v>
          </cell>
        </row>
        <row r="560">
          <cell r="A560">
            <v>54482</v>
          </cell>
        </row>
        <row r="561">
          <cell r="A561">
            <v>54513</v>
          </cell>
        </row>
        <row r="562">
          <cell r="A562">
            <v>54543</v>
          </cell>
        </row>
        <row r="563">
          <cell r="A563">
            <v>54574</v>
          </cell>
        </row>
        <row r="564">
          <cell r="A564">
            <v>54604</v>
          </cell>
        </row>
        <row r="565">
          <cell r="A565">
            <v>54635</v>
          </cell>
        </row>
        <row r="566">
          <cell r="A566">
            <v>54666</v>
          </cell>
        </row>
        <row r="567">
          <cell r="A567">
            <v>54696</v>
          </cell>
        </row>
        <row r="568">
          <cell r="A568">
            <v>54727</v>
          </cell>
        </row>
        <row r="569">
          <cell r="A569">
            <v>54757</v>
          </cell>
        </row>
        <row r="570">
          <cell r="A570">
            <v>54788</v>
          </cell>
        </row>
        <row r="571">
          <cell r="A571">
            <v>54819</v>
          </cell>
        </row>
        <row r="572">
          <cell r="A572">
            <v>54847</v>
          </cell>
        </row>
        <row r="573">
          <cell r="A573">
            <v>54878</v>
          </cell>
        </row>
        <row r="574">
          <cell r="A574">
            <v>54908</v>
          </cell>
        </row>
        <row r="575">
          <cell r="A575">
            <v>54939</v>
          </cell>
        </row>
        <row r="576">
          <cell r="A576">
            <v>54969</v>
          </cell>
        </row>
        <row r="577">
          <cell r="A577">
            <v>55000</v>
          </cell>
        </row>
        <row r="578">
          <cell r="A578">
            <v>55031</v>
          </cell>
        </row>
        <row r="579">
          <cell r="A579">
            <v>55061</v>
          </cell>
        </row>
        <row r="580">
          <cell r="A580">
            <v>55092</v>
          </cell>
        </row>
        <row r="581">
          <cell r="A581">
            <v>55122</v>
          </cell>
        </row>
        <row r="582">
          <cell r="A582">
            <v>55153</v>
          </cell>
        </row>
        <row r="583">
          <cell r="A583">
            <v>55184</v>
          </cell>
        </row>
        <row r="584">
          <cell r="A584">
            <v>55212</v>
          </cell>
        </row>
        <row r="585">
          <cell r="A585">
            <v>55243</v>
          </cell>
        </row>
        <row r="586">
          <cell r="A586">
            <v>55273</v>
          </cell>
        </row>
        <row r="587">
          <cell r="A587">
            <v>55304</v>
          </cell>
        </row>
        <row r="588">
          <cell r="A588">
            <v>55334</v>
          </cell>
        </row>
        <row r="589">
          <cell r="A589">
            <v>55365</v>
          </cell>
        </row>
        <row r="590">
          <cell r="A590">
            <v>55396</v>
          </cell>
        </row>
        <row r="591">
          <cell r="A591">
            <v>55426</v>
          </cell>
        </row>
        <row r="592">
          <cell r="A592">
            <v>55457</v>
          </cell>
        </row>
        <row r="593">
          <cell r="A593">
            <v>55487</v>
          </cell>
        </row>
        <row r="594">
          <cell r="A594">
            <v>55518</v>
          </cell>
        </row>
        <row r="595">
          <cell r="A595">
            <v>55549</v>
          </cell>
        </row>
        <row r="596">
          <cell r="A596">
            <v>55578</v>
          </cell>
        </row>
        <row r="597">
          <cell r="A597">
            <v>55609</v>
          </cell>
        </row>
        <row r="598">
          <cell r="A598">
            <v>55639</v>
          </cell>
        </row>
        <row r="599">
          <cell r="A599">
            <v>55670</v>
          </cell>
        </row>
        <row r="600">
          <cell r="A600">
            <v>55700</v>
          </cell>
        </row>
        <row r="601">
          <cell r="A601">
            <v>55731</v>
          </cell>
        </row>
        <row r="602">
          <cell r="A602">
            <v>55762</v>
          </cell>
        </row>
        <row r="603">
          <cell r="A603">
            <v>55792</v>
          </cell>
        </row>
        <row r="604">
          <cell r="A604">
            <v>55823</v>
          </cell>
        </row>
        <row r="605">
          <cell r="A605">
            <v>55853</v>
          </cell>
        </row>
        <row r="606">
          <cell r="A606">
            <v>55884</v>
          </cell>
        </row>
        <row r="607">
          <cell r="A607">
            <v>55915</v>
          </cell>
        </row>
        <row r="608">
          <cell r="A608">
            <v>55943</v>
          </cell>
        </row>
        <row r="609">
          <cell r="A609">
            <v>55974</v>
          </cell>
        </row>
        <row r="610">
          <cell r="A610">
            <v>56004</v>
          </cell>
        </row>
        <row r="611">
          <cell r="A611">
            <v>56035</v>
          </cell>
        </row>
        <row r="612">
          <cell r="A612">
            <v>56065</v>
          </cell>
        </row>
        <row r="613">
          <cell r="A613">
            <v>56096</v>
          </cell>
        </row>
        <row r="614">
          <cell r="A614">
            <v>56127</v>
          </cell>
        </row>
        <row r="615">
          <cell r="A615">
            <v>56157</v>
          </cell>
        </row>
        <row r="616">
          <cell r="A616">
            <v>56188</v>
          </cell>
        </row>
        <row r="617">
          <cell r="A617">
            <v>56218</v>
          </cell>
        </row>
        <row r="618">
          <cell r="A618">
            <v>56249</v>
          </cell>
        </row>
        <row r="619">
          <cell r="A619">
            <v>56280</v>
          </cell>
        </row>
        <row r="620">
          <cell r="A620">
            <v>56308</v>
          </cell>
        </row>
        <row r="621">
          <cell r="A621">
            <v>56339</v>
          </cell>
        </row>
        <row r="622">
          <cell r="A622">
            <v>56369</v>
          </cell>
        </row>
        <row r="623">
          <cell r="A623">
            <v>56400</v>
          </cell>
        </row>
        <row r="624">
          <cell r="A624">
            <v>56430</v>
          </cell>
        </row>
        <row r="625">
          <cell r="A625">
            <v>56461</v>
          </cell>
        </row>
        <row r="626">
          <cell r="A626">
            <v>56492</v>
          </cell>
        </row>
        <row r="627">
          <cell r="A627">
            <v>56522</v>
          </cell>
        </row>
        <row r="628">
          <cell r="A628">
            <v>56553</v>
          </cell>
        </row>
        <row r="629">
          <cell r="A629">
            <v>56583</v>
          </cell>
        </row>
        <row r="630">
          <cell r="A630">
            <v>56614</v>
          </cell>
        </row>
        <row r="631">
          <cell r="A631">
            <v>56645</v>
          </cell>
        </row>
        <row r="632">
          <cell r="A632">
            <v>56673</v>
          </cell>
        </row>
        <row r="633">
          <cell r="A633">
            <v>56704</v>
          </cell>
        </row>
        <row r="634">
          <cell r="A634">
            <v>56734</v>
          </cell>
        </row>
        <row r="635">
          <cell r="A635">
            <v>56765</v>
          </cell>
        </row>
        <row r="636">
          <cell r="A636">
            <v>56795</v>
          </cell>
        </row>
        <row r="637">
          <cell r="A637">
            <v>56826</v>
          </cell>
        </row>
        <row r="638">
          <cell r="A638">
            <v>56857</v>
          </cell>
        </row>
        <row r="639">
          <cell r="A639">
            <v>56887</v>
          </cell>
        </row>
        <row r="640">
          <cell r="A640">
            <v>56918</v>
          </cell>
        </row>
        <row r="641">
          <cell r="A641">
            <v>56948</v>
          </cell>
        </row>
        <row r="642">
          <cell r="A642">
            <v>56979</v>
          </cell>
        </row>
        <row r="643">
          <cell r="A643">
            <v>57010</v>
          </cell>
        </row>
        <row r="644">
          <cell r="A644">
            <v>57039</v>
          </cell>
        </row>
        <row r="645">
          <cell r="A645">
            <v>57070</v>
          </cell>
        </row>
        <row r="646">
          <cell r="A646">
            <v>57100</v>
          </cell>
        </row>
        <row r="647">
          <cell r="A647">
            <v>57131</v>
          </cell>
        </row>
        <row r="648">
          <cell r="A648">
            <v>57161</v>
          </cell>
        </row>
        <row r="649">
          <cell r="A649">
            <v>57192</v>
          </cell>
        </row>
        <row r="650">
          <cell r="A650">
            <v>57223</v>
          </cell>
        </row>
        <row r="651">
          <cell r="A651">
            <v>57253</v>
          </cell>
        </row>
        <row r="652">
          <cell r="A652">
            <v>57284</v>
          </cell>
        </row>
        <row r="653">
          <cell r="A653">
            <v>57314</v>
          </cell>
        </row>
        <row r="654">
          <cell r="A654">
            <v>57345</v>
          </cell>
        </row>
        <row r="655">
          <cell r="A655">
            <v>57376</v>
          </cell>
        </row>
        <row r="656">
          <cell r="A656">
            <v>57404</v>
          </cell>
        </row>
        <row r="657">
          <cell r="A657">
            <v>57435</v>
          </cell>
        </row>
        <row r="658">
          <cell r="A658">
            <v>57465</v>
          </cell>
        </row>
        <row r="659">
          <cell r="A659">
            <v>57496</v>
          </cell>
        </row>
        <row r="660">
          <cell r="A660">
            <v>57526</v>
          </cell>
        </row>
        <row r="661">
          <cell r="A661">
            <v>57557</v>
          </cell>
        </row>
        <row r="662">
          <cell r="A662">
            <v>57588</v>
          </cell>
        </row>
        <row r="663">
          <cell r="A663">
            <v>57618</v>
          </cell>
        </row>
        <row r="664">
          <cell r="A664">
            <v>57649</v>
          </cell>
        </row>
        <row r="665">
          <cell r="A665">
            <v>57679</v>
          </cell>
        </row>
        <row r="666">
          <cell r="A666">
            <v>57710</v>
          </cell>
        </row>
        <row r="667">
          <cell r="A667">
            <v>57741</v>
          </cell>
        </row>
        <row r="668">
          <cell r="A668">
            <v>57769</v>
          </cell>
        </row>
        <row r="669">
          <cell r="A669">
            <v>57800</v>
          </cell>
        </row>
        <row r="670">
          <cell r="A670">
            <v>57830</v>
          </cell>
        </row>
        <row r="671">
          <cell r="A671">
            <v>57861</v>
          </cell>
        </row>
        <row r="672">
          <cell r="A672">
            <v>57891</v>
          </cell>
        </row>
        <row r="673">
          <cell r="A673">
            <v>57922</v>
          </cell>
        </row>
        <row r="674">
          <cell r="A674">
            <v>57953</v>
          </cell>
        </row>
        <row r="675">
          <cell r="A675">
            <v>57983</v>
          </cell>
        </row>
        <row r="676">
          <cell r="A676">
            <v>58014</v>
          </cell>
        </row>
        <row r="677">
          <cell r="A677">
            <v>58044</v>
          </cell>
        </row>
        <row r="678">
          <cell r="A678">
            <v>58075</v>
          </cell>
        </row>
        <row r="679">
          <cell r="A679">
            <v>58106</v>
          </cell>
        </row>
        <row r="680">
          <cell r="A680">
            <v>58134</v>
          </cell>
        </row>
        <row r="681">
          <cell r="A681">
            <v>58165</v>
          </cell>
        </row>
        <row r="682">
          <cell r="A682">
            <v>58195</v>
          </cell>
        </row>
        <row r="683">
          <cell r="A683">
            <v>58226</v>
          </cell>
        </row>
        <row r="684">
          <cell r="A684">
            <v>58256</v>
          </cell>
        </row>
        <row r="685">
          <cell r="A685">
            <v>58287</v>
          </cell>
        </row>
        <row r="686">
          <cell r="A686">
            <v>58318</v>
          </cell>
        </row>
        <row r="687">
          <cell r="A687">
            <v>58348</v>
          </cell>
        </row>
        <row r="688">
          <cell r="A688">
            <v>58379</v>
          </cell>
        </row>
        <row r="689">
          <cell r="A689">
            <v>58409</v>
          </cell>
        </row>
        <row r="690">
          <cell r="A690">
            <v>58440</v>
          </cell>
        </row>
        <row r="691">
          <cell r="A691">
            <v>58471</v>
          </cell>
        </row>
        <row r="692">
          <cell r="A692">
            <v>58500</v>
          </cell>
        </row>
        <row r="693">
          <cell r="A693">
            <v>58531</v>
          </cell>
        </row>
        <row r="694">
          <cell r="A694">
            <v>58561</v>
          </cell>
        </row>
        <row r="695">
          <cell r="A695">
            <v>58592</v>
          </cell>
        </row>
        <row r="696">
          <cell r="A696">
            <v>58622</v>
          </cell>
        </row>
        <row r="697">
          <cell r="A697">
            <v>58653</v>
          </cell>
        </row>
        <row r="698">
          <cell r="A698">
            <v>58684</v>
          </cell>
        </row>
        <row r="699">
          <cell r="A699">
            <v>58714</v>
          </cell>
        </row>
        <row r="700">
          <cell r="A700">
            <v>58745</v>
          </cell>
        </row>
        <row r="701">
          <cell r="A701">
            <v>58775</v>
          </cell>
        </row>
        <row r="702">
          <cell r="A702">
            <v>58806</v>
          </cell>
        </row>
        <row r="703">
          <cell r="A703">
            <v>58837</v>
          </cell>
        </row>
        <row r="704">
          <cell r="A704">
            <v>58865</v>
          </cell>
        </row>
        <row r="705">
          <cell r="A705">
            <v>58896</v>
          </cell>
        </row>
        <row r="706">
          <cell r="A706">
            <v>58926</v>
          </cell>
        </row>
        <row r="707">
          <cell r="A707">
            <v>58957</v>
          </cell>
        </row>
        <row r="708">
          <cell r="A708">
            <v>58987</v>
          </cell>
        </row>
        <row r="709">
          <cell r="A709">
            <v>59018</v>
          </cell>
        </row>
        <row r="710">
          <cell r="A710">
            <v>59049</v>
          </cell>
        </row>
        <row r="711">
          <cell r="A711">
            <v>59079</v>
          </cell>
        </row>
        <row r="712">
          <cell r="A712">
            <v>59110</v>
          </cell>
        </row>
        <row r="713">
          <cell r="A713">
            <v>59140</v>
          </cell>
        </row>
        <row r="714">
          <cell r="A714">
            <v>59171</v>
          </cell>
        </row>
        <row r="715">
          <cell r="A715">
            <v>59202</v>
          </cell>
        </row>
        <row r="716">
          <cell r="A716">
            <v>59230</v>
          </cell>
        </row>
        <row r="717">
          <cell r="A717">
            <v>59261</v>
          </cell>
        </row>
        <row r="718">
          <cell r="A718">
            <v>59291</v>
          </cell>
        </row>
        <row r="719">
          <cell r="A719">
            <v>59322</v>
          </cell>
        </row>
        <row r="720">
          <cell r="A720">
            <v>59352</v>
          </cell>
        </row>
        <row r="721">
          <cell r="A721">
            <v>59383</v>
          </cell>
        </row>
        <row r="722">
          <cell r="A722">
            <v>59414</v>
          </cell>
        </row>
        <row r="723">
          <cell r="A723">
            <v>59444</v>
          </cell>
        </row>
        <row r="724">
          <cell r="A724">
            <v>59475</v>
          </cell>
        </row>
        <row r="725">
          <cell r="A725">
            <v>59505</v>
          </cell>
        </row>
        <row r="726">
          <cell r="A726">
            <v>59536</v>
          </cell>
        </row>
        <row r="727">
          <cell r="A727">
            <v>59567</v>
          </cell>
        </row>
        <row r="728">
          <cell r="A728">
            <v>59595</v>
          </cell>
        </row>
        <row r="729">
          <cell r="A729">
            <v>59626</v>
          </cell>
        </row>
        <row r="730">
          <cell r="A730">
            <v>59656</v>
          </cell>
        </row>
        <row r="731">
          <cell r="A731">
            <v>59687</v>
          </cell>
        </row>
        <row r="732">
          <cell r="A732">
            <v>59717</v>
          </cell>
        </row>
        <row r="733">
          <cell r="A733">
            <v>59748</v>
          </cell>
        </row>
        <row r="734">
          <cell r="A734">
            <v>59779</v>
          </cell>
        </row>
        <row r="735">
          <cell r="A735">
            <v>59809</v>
          </cell>
        </row>
        <row r="736">
          <cell r="A736">
            <v>59840</v>
          </cell>
        </row>
        <row r="737">
          <cell r="A737">
            <v>59870</v>
          </cell>
        </row>
        <row r="738">
          <cell r="A738">
            <v>59901</v>
          </cell>
        </row>
        <row r="739">
          <cell r="A739">
            <v>59932</v>
          </cell>
        </row>
        <row r="740">
          <cell r="A740">
            <v>59961</v>
          </cell>
        </row>
        <row r="741">
          <cell r="A741">
            <v>59992</v>
          </cell>
        </row>
        <row r="742">
          <cell r="A742">
            <v>60022</v>
          </cell>
        </row>
        <row r="743">
          <cell r="A743">
            <v>60053</v>
          </cell>
        </row>
        <row r="744">
          <cell r="A744">
            <v>60083</v>
          </cell>
        </row>
        <row r="745">
          <cell r="A745">
            <v>60114</v>
          </cell>
        </row>
        <row r="746">
          <cell r="A746">
            <v>60145</v>
          </cell>
        </row>
        <row r="747">
          <cell r="A747">
            <v>60175</v>
          </cell>
        </row>
        <row r="748">
          <cell r="A748">
            <v>60206</v>
          </cell>
        </row>
        <row r="749">
          <cell r="A749">
            <v>60236</v>
          </cell>
        </row>
        <row r="750">
          <cell r="A750">
            <v>60267</v>
          </cell>
        </row>
        <row r="751">
          <cell r="A751">
            <v>60298</v>
          </cell>
        </row>
        <row r="752">
          <cell r="A752">
            <v>60326</v>
          </cell>
        </row>
        <row r="753">
          <cell r="A753">
            <v>60357</v>
          </cell>
        </row>
        <row r="754">
          <cell r="A754">
            <v>60387</v>
          </cell>
        </row>
        <row r="755">
          <cell r="A755">
            <v>60418</v>
          </cell>
        </row>
        <row r="756">
          <cell r="A756">
            <v>60448</v>
          </cell>
        </row>
        <row r="757">
          <cell r="A757">
            <v>60479</v>
          </cell>
        </row>
        <row r="758">
          <cell r="A758">
            <v>60510</v>
          </cell>
        </row>
        <row r="759">
          <cell r="A759">
            <v>60540</v>
          </cell>
        </row>
        <row r="760">
          <cell r="A760">
            <v>60571</v>
          </cell>
        </row>
        <row r="761">
          <cell r="A761">
            <v>60601</v>
          </cell>
        </row>
        <row r="762">
          <cell r="A762">
            <v>60632</v>
          </cell>
        </row>
        <row r="763">
          <cell r="A763">
            <v>60663</v>
          </cell>
        </row>
        <row r="764">
          <cell r="A764">
            <v>60691</v>
          </cell>
        </row>
        <row r="765">
          <cell r="A765">
            <v>60722</v>
          </cell>
        </row>
        <row r="766">
          <cell r="A766">
            <v>60752</v>
          </cell>
        </row>
        <row r="767">
          <cell r="A767">
            <v>60783</v>
          </cell>
        </row>
        <row r="768">
          <cell r="A768">
            <v>60813</v>
          </cell>
        </row>
        <row r="769">
          <cell r="A769">
            <v>60844</v>
          </cell>
        </row>
        <row r="770">
          <cell r="A770">
            <v>60875</v>
          </cell>
        </row>
        <row r="771">
          <cell r="A771">
            <v>60905</v>
          </cell>
        </row>
        <row r="772">
          <cell r="A772">
            <v>60936</v>
          </cell>
        </row>
        <row r="773">
          <cell r="A773">
            <v>60966</v>
          </cell>
        </row>
        <row r="774">
          <cell r="A774">
            <v>60997</v>
          </cell>
        </row>
        <row r="775">
          <cell r="A775">
            <v>61028</v>
          </cell>
        </row>
        <row r="776">
          <cell r="A776">
            <v>61056</v>
          </cell>
        </row>
        <row r="777">
          <cell r="A777">
            <v>61087</v>
          </cell>
        </row>
        <row r="778">
          <cell r="A778">
            <v>61117</v>
          </cell>
        </row>
        <row r="779">
          <cell r="A779">
            <v>61148</v>
          </cell>
        </row>
        <row r="780">
          <cell r="A780">
            <v>61178</v>
          </cell>
        </row>
        <row r="781">
          <cell r="A781">
            <v>61209</v>
          </cell>
        </row>
        <row r="782">
          <cell r="A782">
            <v>61240</v>
          </cell>
        </row>
        <row r="783">
          <cell r="A783">
            <v>61270</v>
          </cell>
        </row>
        <row r="784">
          <cell r="A784">
            <v>61301</v>
          </cell>
        </row>
        <row r="785">
          <cell r="A785">
            <v>61331</v>
          </cell>
        </row>
        <row r="786">
          <cell r="A786">
            <v>61362</v>
          </cell>
        </row>
        <row r="787">
          <cell r="A787">
            <v>61393</v>
          </cell>
        </row>
        <row r="788">
          <cell r="A788">
            <v>61422</v>
          </cell>
        </row>
        <row r="789">
          <cell r="A789">
            <v>61453</v>
          </cell>
        </row>
        <row r="790">
          <cell r="A790">
            <v>61483</v>
          </cell>
        </row>
        <row r="791">
          <cell r="A791">
            <v>61514</v>
          </cell>
        </row>
        <row r="792">
          <cell r="A792">
            <v>61544</v>
          </cell>
        </row>
        <row r="793">
          <cell r="A793">
            <v>61575</v>
          </cell>
        </row>
        <row r="794">
          <cell r="A794">
            <v>61606</v>
          </cell>
        </row>
        <row r="795">
          <cell r="A795">
            <v>61636</v>
          </cell>
        </row>
        <row r="796">
          <cell r="A796">
            <v>61667</v>
          </cell>
        </row>
        <row r="797">
          <cell r="A797">
            <v>61697</v>
          </cell>
        </row>
        <row r="798">
          <cell r="A798">
            <v>61728</v>
          </cell>
        </row>
        <row r="799">
          <cell r="A799">
            <v>61759</v>
          </cell>
        </row>
        <row r="800">
          <cell r="A800">
            <v>61787</v>
          </cell>
        </row>
        <row r="801">
          <cell r="A801">
            <v>61818</v>
          </cell>
        </row>
        <row r="802">
          <cell r="A802">
            <v>61848</v>
          </cell>
        </row>
        <row r="803">
          <cell r="A803">
            <v>61879</v>
          </cell>
        </row>
        <row r="804">
          <cell r="A804">
            <v>61909</v>
          </cell>
        </row>
        <row r="805">
          <cell r="A805">
            <v>61940</v>
          </cell>
        </row>
        <row r="806">
          <cell r="A806">
            <v>61971</v>
          </cell>
        </row>
        <row r="807">
          <cell r="A807">
            <v>62001</v>
          </cell>
        </row>
        <row r="808">
          <cell r="A808">
            <v>62032</v>
          </cell>
        </row>
        <row r="809">
          <cell r="A809">
            <v>62062</v>
          </cell>
        </row>
        <row r="810">
          <cell r="A810">
            <v>62093</v>
          </cell>
        </row>
        <row r="811">
          <cell r="A811">
            <v>62124</v>
          </cell>
        </row>
        <row r="812">
          <cell r="A812">
            <v>62152</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of All Years"/>
      <sheetName val="YEAR1"/>
      <sheetName val="YEAR2"/>
      <sheetName val="YEAR3"/>
      <sheetName val="YEAR4"/>
      <sheetName val="YEAR5"/>
      <sheetName val="Cumulative Budget"/>
      <sheetName val="Budget Justification"/>
      <sheetName val="Travel Calculator"/>
      <sheetName val="Appendix A-Boilerplate Language"/>
      <sheetName val="Appendix B-Effort Calculator"/>
      <sheetName val="Appendix C-Grants.gov Form Info"/>
      <sheetName val="Appendix D-Facility Rate Tables"/>
      <sheetName val="Lists"/>
    </sheetNames>
    <sheetDataSet>
      <sheetData sheetId="0">
        <row r="1">
          <cell r="A1" t="str">
            <v>Example of Travel Calculator Integration</v>
          </cell>
        </row>
      </sheetData>
      <sheetData sheetId="1">
        <row r="1">
          <cell r="A1" t="str">
            <v>Example of Travel Calculator Integration</v>
          </cell>
        </row>
      </sheetData>
      <sheetData sheetId="2">
        <row r="1">
          <cell r="A1" t="str">
            <v>Example of Travel Calculator Integration</v>
          </cell>
        </row>
      </sheetData>
      <sheetData sheetId="3"/>
      <sheetData sheetId="4"/>
      <sheetData sheetId="5"/>
      <sheetData sheetId="6"/>
      <sheetData sheetId="7"/>
      <sheetData sheetId="8"/>
      <sheetData sheetId="9"/>
      <sheetData sheetId="10"/>
      <sheetData sheetId="11">
        <row r="2">
          <cell r="A2">
            <v>37499</v>
          </cell>
        </row>
      </sheetData>
      <sheetData sheetId="12">
        <row r="2">
          <cell r="A2">
            <v>37499</v>
          </cell>
        </row>
      </sheetData>
      <sheetData sheetId="13" refreshError="1">
        <row r="1">
          <cell r="A1" t="str">
            <v>Example of Travel Calculator Integration</v>
          </cell>
        </row>
        <row r="2">
          <cell r="A2">
            <v>37499</v>
          </cell>
        </row>
        <row r="3">
          <cell r="A3">
            <v>37529</v>
          </cell>
        </row>
        <row r="4">
          <cell r="A4">
            <v>37560</v>
          </cell>
        </row>
        <row r="5">
          <cell r="A5">
            <v>37590</v>
          </cell>
        </row>
        <row r="6">
          <cell r="A6">
            <v>37621</v>
          </cell>
        </row>
        <row r="7">
          <cell r="A7">
            <v>37652</v>
          </cell>
        </row>
        <row r="8">
          <cell r="A8">
            <v>37680</v>
          </cell>
        </row>
        <row r="9">
          <cell r="A9">
            <v>37711</v>
          </cell>
        </row>
        <row r="10">
          <cell r="A10">
            <v>37741</v>
          </cell>
        </row>
        <row r="11">
          <cell r="A11">
            <v>37772</v>
          </cell>
        </row>
        <row r="12">
          <cell r="A12">
            <v>37802</v>
          </cell>
        </row>
        <row r="13">
          <cell r="A13">
            <v>37833</v>
          </cell>
        </row>
        <row r="14">
          <cell r="A14">
            <v>37864</v>
          </cell>
        </row>
        <row r="15">
          <cell r="A15">
            <v>37894</v>
          </cell>
        </row>
        <row r="16">
          <cell r="A16">
            <v>37925</v>
          </cell>
        </row>
        <row r="17">
          <cell r="A17">
            <v>37955</v>
          </cell>
        </row>
        <row r="18">
          <cell r="A18">
            <v>37986</v>
          </cell>
        </row>
        <row r="19">
          <cell r="A19">
            <v>38017</v>
          </cell>
        </row>
        <row r="20">
          <cell r="A20">
            <v>38046</v>
          </cell>
        </row>
        <row r="21">
          <cell r="A21">
            <v>38077</v>
          </cell>
        </row>
        <row r="22">
          <cell r="A22">
            <v>38107</v>
          </cell>
        </row>
        <row r="23">
          <cell r="A23">
            <v>38138</v>
          </cell>
        </row>
        <row r="24">
          <cell r="A24">
            <v>38168</v>
          </cell>
        </row>
        <row r="25">
          <cell r="A25">
            <v>38199</v>
          </cell>
        </row>
        <row r="26">
          <cell r="A26">
            <v>38230</v>
          </cell>
        </row>
        <row r="27">
          <cell r="A27">
            <v>38260</v>
          </cell>
        </row>
        <row r="28">
          <cell r="A28">
            <v>38291</v>
          </cell>
        </row>
        <row r="29">
          <cell r="A29">
            <v>38321</v>
          </cell>
        </row>
        <row r="30">
          <cell r="A30">
            <v>38352</v>
          </cell>
        </row>
        <row r="31">
          <cell r="A31">
            <v>38383</v>
          </cell>
        </row>
        <row r="32">
          <cell r="A32">
            <v>38411</v>
          </cell>
        </row>
        <row r="33">
          <cell r="A33">
            <v>38442</v>
          </cell>
        </row>
        <row r="34">
          <cell r="A34">
            <v>38472</v>
          </cell>
        </row>
        <row r="35">
          <cell r="A35">
            <v>38503</v>
          </cell>
        </row>
        <row r="36">
          <cell r="A36">
            <v>38533</v>
          </cell>
        </row>
        <row r="37">
          <cell r="A37">
            <v>38564</v>
          </cell>
        </row>
        <row r="38">
          <cell r="A38">
            <v>38595</v>
          </cell>
        </row>
        <row r="39">
          <cell r="A39">
            <v>38625</v>
          </cell>
        </row>
        <row r="40">
          <cell r="A40">
            <v>38656</v>
          </cell>
        </row>
        <row r="41">
          <cell r="A41">
            <v>38686</v>
          </cell>
        </row>
        <row r="42">
          <cell r="A42">
            <v>38717</v>
          </cell>
        </row>
        <row r="43">
          <cell r="A43">
            <v>38748</v>
          </cell>
        </row>
        <row r="44">
          <cell r="A44">
            <v>38776</v>
          </cell>
        </row>
        <row r="45">
          <cell r="A45">
            <v>38807</v>
          </cell>
        </row>
        <row r="46">
          <cell r="A46">
            <v>38837</v>
          </cell>
        </row>
        <row r="47">
          <cell r="A47">
            <v>38868</v>
          </cell>
        </row>
        <row r="48">
          <cell r="A48">
            <v>38898</v>
          </cell>
        </row>
        <row r="49">
          <cell r="A49">
            <v>38929</v>
          </cell>
        </row>
        <row r="50">
          <cell r="A50">
            <v>38960</v>
          </cell>
        </row>
        <row r="51">
          <cell r="A51">
            <v>38990</v>
          </cell>
        </row>
        <row r="52">
          <cell r="A52">
            <v>39021</v>
          </cell>
        </row>
        <row r="53">
          <cell r="A53">
            <v>39051</v>
          </cell>
        </row>
        <row r="54">
          <cell r="A54">
            <v>39082</v>
          </cell>
        </row>
        <row r="55">
          <cell r="A55">
            <v>39113</v>
          </cell>
        </row>
        <row r="56">
          <cell r="A56">
            <v>39141</v>
          </cell>
        </row>
        <row r="57">
          <cell r="A57">
            <v>39172</v>
          </cell>
        </row>
        <row r="58">
          <cell r="A58">
            <v>39202</v>
          </cell>
        </row>
        <row r="59">
          <cell r="A59">
            <v>39233</v>
          </cell>
        </row>
        <row r="60">
          <cell r="A60">
            <v>39263</v>
          </cell>
        </row>
        <row r="61">
          <cell r="A61">
            <v>39294</v>
          </cell>
        </row>
        <row r="62">
          <cell r="A62">
            <v>39325</v>
          </cell>
        </row>
        <row r="63">
          <cell r="A63">
            <v>39355</v>
          </cell>
        </row>
        <row r="64">
          <cell r="A64">
            <v>39386</v>
          </cell>
        </row>
        <row r="65">
          <cell r="A65">
            <v>39416</v>
          </cell>
        </row>
        <row r="66">
          <cell r="A66">
            <v>39447</v>
          </cell>
        </row>
        <row r="67">
          <cell r="A67">
            <v>39478</v>
          </cell>
        </row>
        <row r="68">
          <cell r="A68">
            <v>39507</v>
          </cell>
        </row>
        <row r="69">
          <cell r="A69">
            <v>39538</v>
          </cell>
        </row>
        <row r="70">
          <cell r="A70">
            <v>39568</v>
          </cell>
        </row>
        <row r="71">
          <cell r="A71">
            <v>39599</v>
          </cell>
        </row>
        <row r="72">
          <cell r="A72">
            <v>39629</v>
          </cell>
        </row>
        <row r="73">
          <cell r="A73">
            <v>39660</v>
          </cell>
        </row>
        <row r="74">
          <cell r="A74">
            <v>39691</v>
          </cell>
        </row>
        <row r="75">
          <cell r="A75">
            <v>39721</v>
          </cell>
        </row>
        <row r="76">
          <cell r="A76">
            <v>39752</v>
          </cell>
        </row>
        <row r="77">
          <cell r="A77">
            <v>39782</v>
          </cell>
        </row>
        <row r="78">
          <cell r="A78">
            <v>39813</v>
          </cell>
        </row>
        <row r="79">
          <cell r="A79">
            <v>39844</v>
          </cell>
        </row>
        <row r="80">
          <cell r="A80">
            <v>39872</v>
          </cell>
        </row>
        <row r="81">
          <cell r="A81">
            <v>39903</v>
          </cell>
        </row>
        <row r="82">
          <cell r="A82">
            <v>39933</v>
          </cell>
        </row>
        <row r="83">
          <cell r="A83">
            <v>39964</v>
          </cell>
        </row>
        <row r="84">
          <cell r="A84">
            <v>39994</v>
          </cell>
        </row>
        <row r="85">
          <cell r="A85">
            <v>40025</v>
          </cell>
        </row>
        <row r="86">
          <cell r="A86">
            <v>40056</v>
          </cell>
        </row>
        <row r="87">
          <cell r="A87">
            <v>40086</v>
          </cell>
        </row>
        <row r="88">
          <cell r="A88">
            <v>40117</v>
          </cell>
        </row>
        <row r="89">
          <cell r="A89">
            <v>40147</v>
          </cell>
        </row>
        <row r="90">
          <cell r="A90">
            <v>40178</v>
          </cell>
        </row>
        <row r="91">
          <cell r="A91">
            <v>40209</v>
          </cell>
        </row>
        <row r="92">
          <cell r="A92">
            <v>40237</v>
          </cell>
        </row>
        <row r="93">
          <cell r="A93">
            <v>40268</v>
          </cell>
        </row>
        <row r="94">
          <cell r="A94">
            <v>40298</v>
          </cell>
        </row>
        <row r="95">
          <cell r="A95">
            <v>40329</v>
          </cell>
        </row>
        <row r="96">
          <cell r="A96">
            <v>40359</v>
          </cell>
        </row>
        <row r="97">
          <cell r="A97">
            <v>40390</v>
          </cell>
        </row>
        <row r="98">
          <cell r="A98">
            <v>40421</v>
          </cell>
        </row>
        <row r="99">
          <cell r="A99">
            <v>40451</v>
          </cell>
        </row>
        <row r="100">
          <cell r="A100">
            <v>40482</v>
          </cell>
        </row>
        <row r="101">
          <cell r="A101">
            <v>40512</v>
          </cell>
        </row>
        <row r="102">
          <cell r="A102">
            <v>40543</v>
          </cell>
        </row>
        <row r="103">
          <cell r="A103">
            <v>40574</v>
          </cell>
        </row>
        <row r="104">
          <cell r="A104">
            <v>40602</v>
          </cell>
        </row>
        <row r="105">
          <cell r="A105">
            <v>40633</v>
          </cell>
        </row>
        <row r="106">
          <cell r="A106">
            <v>40663</v>
          </cell>
        </row>
        <row r="107">
          <cell r="A107">
            <v>40694</v>
          </cell>
        </row>
        <row r="108">
          <cell r="A108">
            <v>40724</v>
          </cell>
        </row>
        <row r="109">
          <cell r="A109">
            <v>40755</v>
          </cell>
        </row>
        <row r="110">
          <cell r="A110">
            <v>40786</v>
          </cell>
        </row>
        <row r="111">
          <cell r="A111">
            <v>40816</v>
          </cell>
        </row>
        <row r="112">
          <cell r="A112">
            <v>40847</v>
          </cell>
        </row>
        <row r="113">
          <cell r="A113">
            <v>40877</v>
          </cell>
        </row>
        <row r="114">
          <cell r="A114">
            <v>40908</v>
          </cell>
        </row>
        <row r="115">
          <cell r="A115">
            <v>40939</v>
          </cell>
        </row>
        <row r="116">
          <cell r="A116">
            <v>40968</v>
          </cell>
        </row>
        <row r="117">
          <cell r="A117">
            <v>40999</v>
          </cell>
        </row>
        <row r="118">
          <cell r="A118">
            <v>41029</v>
          </cell>
        </row>
        <row r="119">
          <cell r="A119">
            <v>41060</v>
          </cell>
        </row>
        <row r="120">
          <cell r="A120">
            <v>41090</v>
          </cell>
        </row>
        <row r="121">
          <cell r="A121">
            <v>41121</v>
          </cell>
        </row>
        <row r="122">
          <cell r="A122">
            <v>41152</v>
          </cell>
        </row>
        <row r="123">
          <cell r="A123">
            <v>41182</v>
          </cell>
        </row>
        <row r="124">
          <cell r="A124">
            <v>41213</v>
          </cell>
        </row>
        <row r="125">
          <cell r="A125">
            <v>41243</v>
          </cell>
        </row>
        <row r="126">
          <cell r="A126">
            <v>41274</v>
          </cell>
        </row>
        <row r="127">
          <cell r="A127">
            <v>41305</v>
          </cell>
        </row>
        <row r="128">
          <cell r="A128">
            <v>41333</v>
          </cell>
        </row>
        <row r="129">
          <cell r="A129">
            <v>41364</v>
          </cell>
        </row>
        <row r="130">
          <cell r="A130">
            <v>41394</v>
          </cell>
        </row>
        <row r="131">
          <cell r="A131">
            <v>41425</v>
          </cell>
        </row>
        <row r="132">
          <cell r="A132">
            <v>41455</v>
          </cell>
        </row>
        <row r="133">
          <cell r="A133">
            <v>41486</v>
          </cell>
        </row>
        <row r="134">
          <cell r="A134">
            <v>41517</v>
          </cell>
        </row>
        <row r="135">
          <cell r="A135">
            <v>41547</v>
          </cell>
        </row>
        <row r="136">
          <cell r="A136">
            <v>41578</v>
          </cell>
        </row>
        <row r="137">
          <cell r="A137">
            <v>41608</v>
          </cell>
        </row>
        <row r="138">
          <cell r="A138">
            <v>41639</v>
          </cell>
        </row>
        <row r="139">
          <cell r="A139">
            <v>41670</v>
          </cell>
        </row>
        <row r="140">
          <cell r="A140">
            <v>41698</v>
          </cell>
        </row>
        <row r="141">
          <cell r="A141">
            <v>41729</v>
          </cell>
        </row>
        <row r="142">
          <cell r="A142">
            <v>41759</v>
          </cell>
        </row>
        <row r="143">
          <cell r="A143">
            <v>41790</v>
          </cell>
        </row>
        <row r="144">
          <cell r="A144">
            <v>41820</v>
          </cell>
        </row>
        <row r="145">
          <cell r="A145">
            <v>41851</v>
          </cell>
        </row>
        <row r="146">
          <cell r="A146">
            <v>41882</v>
          </cell>
        </row>
        <row r="147">
          <cell r="A147">
            <v>41912</v>
          </cell>
        </row>
        <row r="148">
          <cell r="A148">
            <v>41943</v>
          </cell>
        </row>
        <row r="149">
          <cell r="A149">
            <v>41973</v>
          </cell>
        </row>
        <row r="150">
          <cell r="A150">
            <v>42004</v>
          </cell>
        </row>
        <row r="151">
          <cell r="A151">
            <v>42035</v>
          </cell>
        </row>
        <row r="152">
          <cell r="A152">
            <v>42063</v>
          </cell>
        </row>
        <row r="153">
          <cell r="A153">
            <v>42094</v>
          </cell>
        </row>
        <row r="154">
          <cell r="A154">
            <v>42124</v>
          </cell>
        </row>
        <row r="155">
          <cell r="A155">
            <v>42155</v>
          </cell>
        </row>
        <row r="156">
          <cell r="A156">
            <v>42185</v>
          </cell>
        </row>
        <row r="157">
          <cell r="A157">
            <v>42216</v>
          </cell>
        </row>
        <row r="158">
          <cell r="A158">
            <v>42247</v>
          </cell>
        </row>
        <row r="159">
          <cell r="A159">
            <v>42277</v>
          </cell>
        </row>
        <row r="160">
          <cell r="A160">
            <v>42308</v>
          </cell>
        </row>
        <row r="161">
          <cell r="A161">
            <v>42338</v>
          </cell>
        </row>
        <row r="162">
          <cell r="A162">
            <v>42369</v>
          </cell>
        </row>
        <row r="163">
          <cell r="A163">
            <v>42400</v>
          </cell>
        </row>
        <row r="164">
          <cell r="A164">
            <v>42429</v>
          </cell>
        </row>
        <row r="165">
          <cell r="A165">
            <v>42460</v>
          </cell>
        </row>
        <row r="166">
          <cell r="A166">
            <v>42490</v>
          </cell>
        </row>
        <row r="167">
          <cell r="A167">
            <v>42521</v>
          </cell>
        </row>
        <row r="168">
          <cell r="A168">
            <v>42551</v>
          </cell>
        </row>
        <row r="169">
          <cell r="A169">
            <v>42582</v>
          </cell>
        </row>
        <row r="170">
          <cell r="A170">
            <v>42613</v>
          </cell>
        </row>
        <row r="171">
          <cell r="A171">
            <v>42643</v>
          </cell>
        </row>
        <row r="172">
          <cell r="A172">
            <v>42674</v>
          </cell>
        </row>
        <row r="173">
          <cell r="A173">
            <v>42704</v>
          </cell>
        </row>
        <row r="174">
          <cell r="A174">
            <v>42735</v>
          </cell>
        </row>
        <row r="175">
          <cell r="A175">
            <v>42766</v>
          </cell>
        </row>
        <row r="176">
          <cell r="A176">
            <v>42794</v>
          </cell>
        </row>
        <row r="177">
          <cell r="A177">
            <v>42825</v>
          </cell>
        </row>
        <row r="178">
          <cell r="A178">
            <v>42855</v>
          </cell>
        </row>
        <row r="179">
          <cell r="A179">
            <v>42886</v>
          </cell>
        </row>
        <row r="180">
          <cell r="A180">
            <v>42916</v>
          </cell>
        </row>
        <row r="181">
          <cell r="A181">
            <v>42947</v>
          </cell>
        </row>
        <row r="182">
          <cell r="A182">
            <v>42978</v>
          </cell>
        </row>
        <row r="183">
          <cell r="A183">
            <v>43008</v>
          </cell>
        </row>
        <row r="184">
          <cell r="A184">
            <v>43039</v>
          </cell>
        </row>
        <row r="185">
          <cell r="A185">
            <v>43069</v>
          </cell>
        </row>
        <row r="186">
          <cell r="A186">
            <v>43100</v>
          </cell>
        </row>
        <row r="187">
          <cell r="A187">
            <v>43131</v>
          </cell>
        </row>
        <row r="188">
          <cell r="A188">
            <v>43159</v>
          </cell>
        </row>
        <row r="189">
          <cell r="A189">
            <v>43190</v>
          </cell>
        </row>
        <row r="190">
          <cell r="A190">
            <v>43220</v>
          </cell>
        </row>
        <row r="191">
          <cell r="A191">
            <v>43251</v>
          </cell>
        </row>
        <row r="192">
          <cell r="A192">
            <v>43281</v>
          </cell>
        </row>
        <row r="193">
          <cell r="A193">
            <v>43312</v>
          </cell>
        </row>
        <row r="194">
          <cell r="A194">
            <v>43343</v>
          </cell>
        </row>
        <row r="195">
          <cell r="A195">
            <v>43373</v>
          </cell>
        </row>
        <row r="196">
          <cell r="A196">
            <v>43404</v>
          </cell>
        </row>
        <row r="197">
          <cell r="A197">
            <v>43434</v>
          </cell>
        </row>
        <row r="198">
          <cell r="A198">
            <v>43465</v>
          </cell>
        </row>
        <row r="199">
          <cell r="A199">
            <v>43496</v>
          </cell>
        </row>
        <row r="200">
          <cell r="A200">
            <v>43524</v>
          </cell>
        </row>
        <row r="201">
          <cell r="A201">
            <v>43555</v>
          </cell>
        </row>
        <row r="202">
          <cell r="A202">
            <v>43585</v>
          </cell>
        </row>
        <row r="203">
          <cell r="A203">
            <v>43616</v>
          </cell>
        </row>
        <row r="204">
          <cell r="A204">
            <v>43646</v>
          </cell>
        </row>
        <row r="205">
          <cell r="A205">
            <v>43677</v>
          </cell>
        </row>
        <row r="206">
          <cell r="A206">
            <v>43708</v>
          </cell>
        </row>
        <row r="207">
          <cell r="A207">
            <v>43738</v>
          </cell>
        </row>
        <row r="208">
          <cell r="A208">
            <v>43769</v>
          </cell>
        </row>
        <row r="209">
          <cell r="A209">
            <v>43799</v>
          </cell>
        </row>
        <row r="210">
          <cell r="A210">
            <v>43830</v>
          </cell>
        </row>
        <row r="211">
          <cell r="A211">
            <v>43861</v>
          </cell>
        </row>
        <row r="212">
          <cell r="A212">
            <v>43890</v>
          </cell>
        </row>
        <row r="213">
          <cell r="A213">
            <v>43921</v>
          </cell>
        </row>
        <row r="214">
          <cell r="A214">
            <v>43951</v>
          </cell>
        </row>
        <row r="215">
          <cell r="A215">
            <v>43982</v>
          </cell>
        </row>
        <row r="216">
          <cell r="A216">
            <v>44012</v>
          </cell>
        </row>
        <row r="217">
          <cell r="A217">
            <v>44043</v>
          </cell>
        </row>
        <row r="218">
          <cell r="A218">
            <v>44074</v>
          </cell>
        </row>
        <row r="219">
          <cell r="A219">
            <v>44104</v>
          </cell>
        </row>
        <row r="220">
          <cell r="A220">
            <v>44135</v>
          </cell>
        </row>
        <row r="221">
          <cell r="A221">
            <v>44165</v>
          </cell>
        </row>
        <row r="222">
          <cell r="A222">
            <v>44196</v>
          </cell>
        </row>
        <row r="223">
          <cell r="A223">
            <v>44227</v>
          </cell>
        </row>
        <row r="224">
          <cell r="A224">
            <v>44255</v>
          </cell>
        </row>
        <row r="225">
          <cell r="A225">
            <v>44286</v>
          </cell>
        </row>
        <row r="226">
          <cell r="A226">
            <v>44316</v>
          </cell>
        </row>
        <row r="227">
          <cell r="A227">
            <v>44347</v>
          </cell>
        </row>
        <row r="228">
          <cell r="A228">
            <v>44377</v>
          </cell>
        </row>
        <row r="229">
          <cell r="A229">
            <v>44408</v>
          </cell>
        </row>
        <row r="230">
          <cell r="A230">
            <v>44439</v>
          </cell>
        </row>
        <row r="231">
          <cell r="A231">
            <v>44469</v>
          </cell>
        </row>
        <row r="232">
          <cell r="A232">
            <v>44500</v>
          </cell>
        </row>
        <row r="233">
          <cell r="A233">
            <v>44530</v>
          </cell>
        </row>
        <row r="234">
          <cell r="A234">
            <v>44561</v>
          </cell>
        </row>
        <row r="235">
          <cell r="A235">
            <v>44592</v>
          </cell>
        </row>
        <row r="236">
          <cell r="A236">
            <v>44620</v>
          </cell>
        </row>
        <row r="237">
          <cell r="A237">
            <v>44651</v>
          </cell>
        </row>
        <row r="238">
          <cell r="A238">
            <v>44681</v>
          </cell>
        </row>
        <row r="239">
          <cell r="A239">
            <v>44712</v>
          </cell>
        </row>
        <row r="240">
          <cell r="A240">
            <v>44742</v>
          </cell>
        </row>
        <row r="241">
          <cell r="A241">
            <v>44773</v>
          </cell>
        </row>
        <row r="242">
          <cell r="A242">
            <v>44804</v>
          </cell>
        </row>
        <row r="243">
          <cell r="A243">
            <v>44834</v>
          </cell>
        </row>
        <row r="244">
          <cell r="A244">
            <v>44865</v>
          </cell>
        </row>
        <row r="245">
          <cell r="A245">
            <v>44895</v>
          </cell>
        </row>
        <row r="246">
          <cell r="A246">
            <v>44926</v>
          </cell>
        </row>
        <row r="247">
          <cell r="A247">
            <v>44957</v>
          </cell>
        </row>
        <row r="248">
          <cell r="A248">
            <v>44985</v>
          </cell>
        </row>
        <row r="249">
          <cell r="A249">
            <v>45016</v>
          </cell>
        </row>
        <row r="250">
          <cell r="A250">
            <v>45046</v>
          </cell>
        </row>
        <row r="251">
          <cell r="A251">
            <v>45077</v>
          </cell>
        </row>
        <row r="252">
          <cell r="A252">
            <v>45107</v>
          </cell>
        </row>
        <row r="253">
          <cell r="A253">
            <v>45138</v>
          </cell>
        </row>
        <row r="254">
          <cell r="A254">
            <v>45169</v>
          </cell>
        </row>
        <row r="255">
          <cell r="A255">
            <v>45199</v>
          </cell>
        </row>
        <row r="256">
          <cell r="A256">
            <v>45230</v>
          </cell>
        </row>
        <row r="257">
          <cell r="A257">
            <v>45260</v>
          </cell>
        </row>
        <row r="258">
          <cell r="A258">
            <v>45291</v>
          </cell>
        </row>
        <row r="259">
          <cell r="A259">
            <v>45322</v>
          </cell>
        </row>
        <row r="260">
          <cell r="A260">
            <v>45351</v>
          </cell>
        </row>
        <row r="261">
          <cell r="A261">
            <v>45382</v>
          </cell>
        </row>
        <row r="262">
          <cell r="A262">
            <v>45412</v>
          </cell>
        </row>
        <row r="263">
          <cell r="A263">
            <v>45443</v>
          </cell>
        </row>
        <row r="264">
          <cell r="A264">
            <v>45473</v>
          </cell>
        </row>
        <row r="265">
          <cell r="A265">
            <v>45504</v>
          </cell>
        </row>
        <row r="266">
          <cell r="A266">
            <v>45535</v>
          </cell>
        </row>
        <row r="267">
          <cell r="A267">
            <v>45565</v>
          </cell>
        </row>
        <row r="268">
          <cell r="A268">
            <v>45596</v>
          </cell>
        </row>
        <row r="269">
          <cell r="A269">
            <v>45626</v>
          </cell>
        </row>
        <row r="270">
          <cell r="A270">
            <v>45657</v>
          </cell>
        </row>
        <row r="271">
          <cell r="A271">
            <v>45688</v>
          </cell>
        </row>
        <row r="272">
          <cell r="A272">
            <v>45716</v>
          </cell>
        </row>
        <row r="273">
          <cell r="A273">
            <v>45747</v>
          </cell>
        </row>
        <row r="274">
          <cell r="A274">
            <v>45777</v>
          </cell>
        </row>
        <row r="275">
          <cell r="A275">
            <v>45808</v>
          </cell>
        </row>
        <row r="276">
          <cell r="A276">
            <v>45838</v>
          </cell>
        </row>
        <row r="277">
          <cell r="A277">
            <v>45869</v>
          </cell>
        </row>
        <row r="278">
          <cell r="A278">
            <v>45900</v>
          </cell>
        </row>
        <row r="279">
          <cell r="A279">
            <v>45930</v>
          </cell>
        </row>
        <row r="280">
          <cell r="A280">
            <v>45961</v>
          </cell>
        </row>
        <row r="281">
          <cell r="A281">
            <v>45991</v>
          </cell>
        </row>
        <row r="282">
          <cell r="A282">
            <v>46022</v>
          </cell>
        </row>
        <row r="283">
          <cell r="A283">
            <v>46053</v>
          </cell>
        </row>
        <row r="284">
          <cell r="A284">
            <v>46081</v>
          </cell>
        </row>
        <row r="285">
          <cell r="A285">
            <v>46112</v>
          </cell>
        </row>
        <row r="286">
          <cell r="A286">
            <v>46142</v>
          </cell>
        </row>
        <row r="287">
          <cell r="A287">
            <v>46173</v>
          </cell>
        </row>
        <row r="288">
          <cell r="A288">
            <v>46203</v>
          </cell>
        </row>
        <row r="289">
          <cell r="A289">
            <v>46234</v>
          </cell>
        </row>
        <row r="290">
          <cell r="A290">
            <v>46265</v>
          </cell>
        </row>
        <row r="291">
          <cell r="A291">
            <v>46295</v>
          </cell>
        </row>
        <row r="292">
          <cell r="A292">
            <v>46326</v>
          </cell>
        </row>
        <row r="293">
          <cell r="A293">
            <v>46356</v>
          </cell>
        </row>
        <row r="294">
          <cell r="A294">
            <v>46387</v>
          </cell>
        </row>
        <row r="295">
          <cell r="A295">
            <v>46418</v>
          </cell>
        </row>
        <row r="296">
          <cell r="A296">
            <v>46446</v>
          </cell>
        </row>
        <row r="297">
          <cell r="A297">
            <v>46477</v>
          </cell>
        </row>
        <row r="298">
          <cell r="A298">
            <v>46507</v>
          </cell>
        </row>
        <row r="299">
          <cell r="A299">
            <v>46538</v>
          </cell>
        </row>
        <row r="300">
          <cell r="A300">
            <v>46568</v>
          </cell>
        </row>
        <row r="301">
          <cell r="A301">
            <v>46599</v>
          </cell>
        </row>
        <row r="302">
          <cell r="A302">
            <v>46630</v>
          </cell>
        </row>
        <row r="303">
          <cell r="A303">
            <v>46660</v>
          </cell>
        </row>
        <row r="304">
          <cell r="A304">
            <v>46691</v>
          </cell>
        </row>
        <row r="305">
          <cell r="A305">
            <v>46721</v>
          </cell>
        </row>
        <row r="306">
          <cell r="A306">
            <v>46752</v>
          </cell>
        </row>
        <row r="307">
          <cell r="A307">
            <v>46783</v>
          </cell>
        </row>
        <row r="308">
          <cell r="A308">
            <v>46812</v>
          </cell>
        </row>
        <row r="309">
          <cell r="A309">
            <v>46843</v>
          </cell>
        </row>
        <row r="310">
          <cell r="A310">
            <v>46873</v>
          </cell>
        </row>
        <row r="311">
          <cell r="A311">
            <v>46904</v>
          </cell>
        </row>
        <row r="312">
          <cell r="A312">
            <v>46934</v>
          </cell>
        </row>
        <row r="313">
          <cell r="A313">
            <v>46965</v>
          </cell>
        </row>
        <row r="314">
          <cell r="A314">
            <v>46996</v>
          </cell>
        </row>
        <row r="315">
          <cell r="A315">
            <v>47026</v>
          </cell>
        </row>
        <row r="316">
          <cell r="A316">
            <v>47057</v>
          </cell>
        </row>
        <row r="317">
          <cell r="A317">
            <v>47087</v>
          </cell>
        </row>
        <row r="318">
          <cell r="A318">
            <v>47118</v>
          </cell>
        </row>
        <row r="319">
          <cell r="A319">
            <v>47149</v>
          </cell>
        </row>
        <row r="320">
          <cell r="A320">
            <v>47177</v>
          </cell>
        </row>
        <row r="321">
          <cell r="A321">
            <v>47208</v>
          </cell>
        </row>
        <row r="322">
          <cell r="A322">
            <v>47238</v>
          </cell>
        </row>
        <row r="323">
          <cell r="A323">
            <v>47269</v>
          </cell>
        </row>
        <row r="324">
          <cell r="A324">
            <v>47299</v>
          </cell>
        </row>
        <row r="325">
          <cell r="A325">
            <v>47330</v>
          </cell>
        </row>
        <row r="326">
          <cell r="A326">
            <v>47361</v>
          </cell>
        </row>
        <row r="327">
          <cell r="A327">
            <v>47391</v>
          </cell>
        </row>
        <row r="328">
          <cell r="A328">
            <v>47422</v>
          </cell>
        </row>
        <row r="329">
          <cell r="A329">
            <v>47452</v>
          </cell>
        </row>
        <row r="330">
          <cell r="A330">
            <v>47483</v>
          </cell>
        </row>
        <row r="331">
          <cell r="A331">
            <v>47514</v>
          </cell>
        </row>
        <row r="332">
          <cell r="A332">
            <v>47542</v>
          </cell>
        </row>
        <row r="333">
          <cell r="A333">
            <v>47573</v>
          </cell>
        </row>
        <row r="334">
          <cell r="A334">
            <v>47603</v>
          </cell>
        </row>
        <row r="335">
          <cell r="A335">
            <v>47634</v>
          </cell>
        </row>
        <row r="336">
          <cell r="A336">
            <v>47664</v>
          </cell>
        </row>
        <row r="337">
          <cell r="A337">
            <v>47695</v>
          </cell>
        </row>
        <row r="338">
          <cell r="A338">
            <v>47726</v>
          </cell>
        </row>
        <row r="339">
          <cell r="A339">
            <v>47756</v>
          </cell>
        </row>
        <row r="340">
          <cell r="A340">
            <v>47787</v>
          </cell>
        </row>
        <row r="341">
          <cell r="A341">
            <v>47817</v>
          </cell>
        </row>
        <row r="342">
          <cell r="A342">
            <v>47848</v>
          </cell>
        </row>
        <row r="343">
          <cell r="A343">
            <v>47879</v>
          </cell>
        </row>
        <row r="344">
          <cell r="A344">
            <v>47907</v>
          </cell>
        </row>
        <row r="345">
          <cell r="A345">
            <v>47938</v>
          </cell>
        </row>
        <row r="346">
          <cell r="A346">
            <v>47968</v>
          </cell>
        </row>
        <row r="347">
          <cell r="A347">
            <v>47999</v>
          </cell>
        </row>
        <row r="348">
          <cell r="A348">
            <v>48029</v>
          </cell>
        </row>
        <row r="349">
          <cell r="A349">
            <v>48060</v>
          </cell>
        </row>
        <row r="350">
          <cell r="A350">
            <v>48091</v>
          </cell>
        </row>
        <row r="351">
          <cell r="A351">
            <v>48121</v>
          </cell>
        </row>
        <row r="352">
          <cell r="A352">
            <v>48152</v>
          </cell>
        </row>
        <row r="353">
          <cell r="A353">
            <v>48182</v>
          </cell>
        </row>
        <row r="354">
          <cell r="A354">
            <v>48213</v>
          </cell>
        </row>
        <row r="355">
          <cell r="A355">
            <v>48244</v>
          </cell>
        </row>
        <row r="356">
          <cell r="A356">
            <v>48273</v>
          </cell>
        </row>
        <row r="357">
          <cell r="A357">
            <v>48304</v>
          </cell>
        </row>
        <row r="358">
          <cell r="A358">
            <v>48334</v>
          </cell>
        </row>
        <row r="359">
          <cell r="A359">
            <v>48365</v>
          </cell>
        </row>
        <row r="360">
          <cell r="A360">
            <v>48395</v>
          </cell>
        </row>
        <row r="361">
          <cell r="A361">
            <v>48426</v>
          </cell>
        </row>
        <row r="362">
          <cell r="A362">
            <v>48457</v>
          </cell>
        </row>
        <row r="363">
          <cell r="A363">
            <v>48487</v>
          </cell>
        </row>
        <row r="364">
          <cell r="A364">
            <v>48518</v>
          </cell>
        </row>
        <row r="365">
          <cell r="A365">
            <v>48548</v>
          </cell>
        </row>
        <row r="366">
          <cell r="A366">
            <v>48579</v>
          </cell>
        </row>
        <row r="367">
          <cell r="A367">
            <v>48610</v>
          </cell>
        </row>
        <row r="368">
          <cell r="A368">
            <v>48638</v>
          </cell>
        </row>
        <row r="369">
          <cell r="A369">
            <v>48669</v>
          </cell>
        </row>
        <row r="370">
          <cell r="A370">
            <v>48699</v>
          </cell>
        </row>
        <row r="371">
          <cell r="A371">
            <v>48730</v>
          </cell>
        </row>
        <row r="372">
          <cell r="A372">
            <v>48760</v>
          </cell>
        </row>
        <row r="373">
          <cell r="A373">
            <v>48791</v>
          </cell>
        </row>
        <row r="374">
          <cell r="A374">
            <v>48822</v>
          </cell>
        </row>
        <row r="375">
          <cell r="A375">
            <v>48852</v>
          </cell>
        </row>
        <row r="376">
          <cell r="A376">
            <v>48883</v>
          </cell>
        </row>
        <row r="377">
          <cell r="A377">
            <v>48913</v>
          </cell>
        </row>
        <row r="378">
          <cell r="A378">
            <v>48944</v>
          </cell>
        </row>
        <row r="379">
          <cell r="A379">
            <v>48975</v>
          </cell>
        </row>
        <row r="380">
          <cell r="A380">
            <v>49003</v>
          </cell>
        </row>
        <row r="381">
          <cell r="A381">
            <v>49034</v>
          </cell>
        </row>
        <row r="382">
          <cell r="A382">
            <v>49064</v>
          </cell>
        </row>
        <row r="383">
          <cell r="A383">
            <v>49095</v>
          </cell>
        </row>
        <row r="384">
          <cell r="A384">
            <v>49125</v>
          </cell>
        </row>
        <row r="385">
          <cell r="A385">
            <v>49156</v>
          </cell>
        </row>
        <row r="386">
          <cell r="A386">
            <v>49187</v>
          </cell>
        </row>
        <row r="387">
          <cell r="A387">
            <v>49217</v>
          </cell>
        </row>
        <row r="388">
          <cell r="A388">
            <v>49248</v>
          </cell>
        </row>
        <row r="389">
          <cell r="A389">
            <v>49278</v>
          </cell>
        </row>
        <row r="390">
          <cell r="A390">
            <v>49309</v>
          </cell>
        </row>
        <row r="391">
          <cell r="A391">
            <v>49340</v>
          </cell>
        </row>
        <row r="392">
          <cell r="A392">
            <v>49368</v>
          </cell>
        </row>
        <row r="393">
          <cell r="A393">
            <v>49399</v>
          </cell>
        </row>
        <row r="394">
          <cell r="A394">
            <v>49429</v>
          </cell>
        </row>
        <row r="395">
          <cell r="A395">
            <v>49460</v>
          </cell>
        </row>
        <row r="396">
          <cell r="A396">
            <v>49490</v>
          </cell>
        </row>
        <row r="397">
          <cell r="A397">
            <v>49521</v>
          </cell>
        </row>
        <row r="398">
          <cell r="A398">
            <v>49552</v>
          </cell>
        </row>
        <row r="399">
          <cell r="A399">
            <v>49582</v>
          </cell>
        </row>
        <row r="400">
          <cell r="A400">
            <v>49613</v>
          </cell>
        </row>
        <row r="401">
          <cell r="A401">
            <v>49643</v>
          </cell>
        </row>
        <row r="402">
          <cell r="A402">
            <v>49674</v>
          </cell>
        </row>
        <row r="403">
          <cell r="A403">
            <v>49705</v>
          </cell>
        </row>
        <row r="404">
          <cell r="A404">
            <v>49734</v>
          </cell>
        </row>
        <row r="405">
          <cell r="A405">
            <v>49765</v>
          </cell>
        </row>
        <row r="406">
          <cell r="A406">
            <v>49795</v>
          </cell>
        </row>
        <row r="407">
          <cell r="A407">
            <v>49826</v>
          </cell>
        </row>
        <row r="408">
          <cell r="A408">
            <v>49856</v>
          </cell>
        </row>
        <row r="409">
          <cell r="A409">
            <v>49887</v>
          </cell>
        </row>
        <row r="410">
          <cell r="A410">
            <v>49918</v>
          </cell>
        </row>
        <row r="411">
          <cell r="A411">
            <v>49948</v>
          </cell>
        </row>
        <row r="412">
          <cell r="A412">
            <v>49979</v>
          </cell>
        </row>
        <row r="413">
          <cell r="A413">
            <v>50009</v>
          </cell>
        </row>
        <row r="414">
          <cell r="A414">
            <v>50040</v>
          </cell>
        </row>
        <row r="415">
          <cell r="A415">
            <v>50071</v>
          </cell>
        </row>
        <row r="416">
          <cell r="A416">
            <v>50099</v>
          </cell>
        </row>
        <row r="417">
          <cell r="A417">
            <v>50130</v>
          </cell>
        </row>
        <row r="418">
          <cell r="A418">
            <v>50160</v>
          </cell>
        </row>
        <row r="419">
          <cell r="A419">
            <v>50191</v>
          </cell>
        </row>
        <row r="420">
          <cell r="A420">
            <v>50221</v>
          </cell>
        </row>
        <row r="421">
          <cell r="A421">
            <v>50252</v>
          </cell>
        </row>
        <row r="422">
          <cell r="A422">
            <v>50283</v>
          </cell>
        </row>
        <row r="423">
          <cell r="A423">
            <v>50313</v>
          </cell>
        </row>
        <row r="424">
          <cell r="A424">
            <v>50344</v>
          </cell>
        </row>
        <row r="425">
          <cell r="A425">
            <v>50374</v>
          </cell>
        </row>
        <row r="426">
          <cell r="A426">
            <v>50405</v>
          </cell>
        </row>
        <row r="427">
          <cell r="A427">
            <v>50436</v>
          </cell>
        </row>
        <row r="428">
          <cell r="A428">
            <v>50464</v>
          </cell>
        </row>
        <row r="429">
          <cell r="A429">
            <v>50495</v>
          </cell>
        </row>
        <row r="430">
          <cell r="A430">
            <v>50525</v>
          </cell>
        </row>
        <row r="431">
          <cell r="A431">
            <v>50556</v>
          </cell>
        </row>
        <row r="432">
          <cell r="A432">
            <v>50586</v>
          </cell>
        </row>
        <row r="433">
          <cell r="A433">
            <v>50617</v>
          </cell>
        </row>
        <row r="434">
          <cell r="A434">
            <v>50648</v>
          </cell>
        </row>
        <row r="435">
          <cell r="A435">
            <v>50678</v>
          </cell>
        </row>
        <row r="436">
          <cell r="A436">
            <v>50709</v>
          </cell>
        </row>
        <row r="437">
          <cell r="A437">
            <v>50739</v>
          </cell>
        </row>
        <row r="438">
          <cell r="A438">
            <v>50770</v>
          </cell>
        </row>
        <row r="439">
          <cell r="A439">
            <v>50801</v>
          </cell>
        </row>
        <row r="440">
          <cell r="A440">
            <v>50829</v>
          </cell>
        </row>
        <row r="441">
          <cell r="A441">
            <v>50860</v>
          </cell>
        </row>
        <row r="442">
          <cell r="A442">
            <v>50890</v>
          </cell>
        </row>
        <row r="443">
          <cell r="A443">
            <v>50921</v>
          </cell>
        </row>
        <row r="444">
          <cell r="A444">
            <v>50951</v>
          </cell>
        </row>
        <row r="445">
          <cell r="A445">
            <v>50982</v>
          </cell>
        </row>
        <row r="446">
          <cell r="A446">
            <v>51013</v>
          </cell>
        </row>
        <row r="447">
          <cell r="A447">
            <v>51043</v>
          </cell>
        </row>
        <row r="448">
          <cell r="A448">
            <v>51074</v>
          </cell>
        </row>
        <row r="449">
          <cell r="A449">
            <v>51104</v>
          </cell>
        </row>
        <row r="450">
          <cell r="A450">
            <v>51135</v>
          </cell>
        </row>
        <row r="451">
          <cell r="A451">
            <v>51166</v>
          </cell>
        </row>
        <row r="452">
          <cell r="A452">
            <v>51195</v>
          </cell>
        </row>
        <row r="453">
          <cell r="A453">
            <v>51226</v>
          </cell>
        </row>
        <row r="454">
          <cell r="A454">
            <v>51256</v>
          </cell>
        </row>
        <row r="455">
          <cell r="A455">
            <v>51287</v>
          </cell>
        </row>
        <row r="456">
          <cell r="A456">
            <v>51317</v>
          </cell>
        </row>
        <row r="457">
          <cell r="A457">
            <v>51348</v>
          </cell>
        </row>
        <row r="458">
          <cell r="A458">
            <v>51379</v>
          </cell>
        </row>
        <row r="459">
          <cell r="A459">
            <v>51409</v>
          </cell>
        </row>
        <row r="460">
          <cell r="A460">
            <v>51440</v>
          </cell>
        </row>
        <row r="461">
          <cell r="A461">
            <v>51470</v>
          </cell>
        </row>
        <row r="462">
          <cell r="A462">
            <v>51501</v>
          </cell>
        </row>
        <row r="463">
          <cell r="A463">
            <v>51532</v>
          </cell>
        </row>
        <row r="464">
          <cell r="A464">
            <v>51560</v>
          </cell>
        </row>
        <row r="465">
          <cell r="A465">
            <v>51591</v>
          </cell>
        </row>
        <row r="466">
          <cell r="A466">
            <v>51621</v>
          </cell>
        </row>
        <row r="467">
          <cell r="A467">
            <v>51652</v>
          </cell>
        </row>
        <row r="468">
          <cell r="A468">
            <v>51682</v>
          </cell>
        </row>
        <row r="469">
          <cell r="A469">
            <v>51713</v>
          </cell>
        </row>
        <row r="470">
          <cell r="A470">
            <v>51744</v>
          </cell>
        </row>
        <row r="471">
          <cell r="A471">
            <v>51774</v>
          </cell>
        </row>
        <row r="472">
          <cell r="A472">
            <v>51805</v>
          </cell>
        </row>
        <row r="473">
          <cell r="A473">
            <v>51835</v>
          </cell>
        </row>
        <row r="474">
          <cell r="A474">
            <v>51866</v>
          </cell>
        </row>
        <row r="475">
          <cell r="A475">
            <v>51897</v>
          </cell>
        </row>
        <row r="476">
          <cell r="A476">
            <v>51925</v>
          </cell>
        </row>
        <row r="477">
          <cell r="A477">
            <v>51956</v>
          </cell>
        </row>
        <row r="478">
          <cell r="A478">
            <v>51986</v>
          </cell>
        </row>
        <row r="479">
          <cell r="A479">
            <v>52017</v>
          </cell>
        </row>
        <row r="480">
          <cell r="A480">
            <v>52047</v>
          </cell>
        </row>
        <row r="481">
          <cell r="A481">
            <v>52078</v>
          </cell>
        </row>
        <row r="482">
          <cell r="A482">
            <v>52109</v>
          </cell>
        </row>
        <row r="483">
          <cell r="A483">
            <v>52139</v>
          </cell>
        </row>
        <row r="484">
          <cell r="A484">
            <v>52170</v>
          </cell>
        </row>
        <row r="485">
          <cell r="A485">
            <v>52200</v>
          </cell>
        </row>
        <row r="486">
          <cell r="A486">
            <v>52231</v>
          </cell>
        </row>
        <row r="487">
          <cell r="A487">
            <v>52262</v>
          </cell>
        </row>
        <row r="488">
          <cell r="A488">
            <v>52290</v>
          </cell>
        </row>
        <row r="489">
          <cell r="A489">
            <v>52321</v>
          </cell>
        </row>
        <row r="490">
          <cell r="A490">
            <v>52351</v>
          </cell>
        </row>
        <row r="491">
          <cell r="A491">
            <v>52382</v>
          </cell>
        </row>
        <row r="492">
          <cell r="A492">
            <v>52412</v>
          </cell>
        </row>
        <row r="493">
          <cell r="A493">
            <v>52443</v>
          </cell>
        </row>
        <row r="494">
          <cell r="A494">
            <v>52474</v>
          </cell>
        </row>
        <row r="495">
          <cell r="A495">
            <v>52504</v>
          </cell>
        </row>
        <row r="496">
          <cell r="A496">
            <v>52535</v>
          </cell>
        </row>
        <row r="497">
          <cell r="A497">
            <v>52565</v>
          </cell>
        </row>
        <row r="498">
          <cell r="A498">
            <v>52596</v>
          </cell>
        </row>
        <row r="499">
          <cell r="A499">
            <v>52627</v>
          </cell>
        </row>
        <row r="500">
          <cell r="A500">
            <v>52656</v>
          </cell>
        </row>
        <row r="501">
          <cell r="A501">
            <v>52687</v>
          </cell>
        </row>
        <row r="502">
          <cell r="A502">
            <v>52717</v>
          </cell>
        </row>
        <row r="503">
          <cell r="A503">
            <v>52748</v>
          </cell>
        </row>
        <row r="504">
          <cell r="A504">
            <v>52778</v>
          </cell>
        </row>
        <row r="505">
          <cell r="A505">
            <v>52809</v>
          </cell>
        </row>
        <row r="506">
          <cell r="A506">
            <v>52840</v>
          </cell>
        </row>
        <row r="507">
          <cell r="A507">
            <v>52870</v>
          </cell>
        </row>
        <row r="508">
          <cell r="A508">
            <v>52901</v>
          </cell>
        </row>
        <row r="509">
          <cell r="A509">
            <v>52931</v>
          </cell>
        </row>
        <row r="510">
          <cell r="A510">
            <v>52962</v>
          </cell>
        </row>
        <row r="511">
          <cell r="A511">
            <v>52993</v>
          </cell>
        </row>
        <row r="512">
          <cell r="A512">
            <v>53021</v>
          </cell>
        </row>
        <row r="513">
          <cell r="A513">
            <v>53052</v>
          </cell>
        </row>
        <row r="514">
          <cell r="A514">
            <v>53082</v>
          </cell>
        </row>
        <row r="515">
          <cell r="A515">
            <v>53113</v>
          </cell>
        </row>
        <row r="516">
          <cell r="A516">
            <v>53143</v>
          </cell>
        </row>
        <row r="517">
          <cell r="A517">
            <v>53174</v>
          </cell>
        </row>
        <row r="518">
          <cell r="A518">
            <v>53205</v>
          </cell>
        </row>
        <row r="519">
          <cell r="A519">
            <v>53235</v>
          </cell>
        </row>
        <row r="520">
          <cell r="A520">
            <v>53266</v>
          </cell>
        </row>
        <row r="521">
          <cell r="A521">
            <v>53296</v>
          </cell>
        </row>
        <row r="522">
          <cell r="A522">
            <v>53327</v>
          </cell>
        </row>
        <row r="523">
          <cell r="A523">
            <v>53358</v>
          </cell>
        </row>
        <row r="524">
          <cell r="A524">
            <v>53386</v>
          </cell>
        </row>
        <row r="525">
          <cell r="A525">
            <v>53417</v>
          </cell>
        </row>
        <row r="526">
          <cell r="A526">
            <v>53447</v>
          </cell>
        </row>
        <row r="527">
          <cell r="A527">
            <v>53478</v>
          </cell>
        </row>
        <row r="528">
          <cell r="A528">
            <v>53508</v>
          </cell>
        </row>
        <row r="529">
          <cell r="A529">
            <v>53539</v>
          </cell>
        </row>
        <row r="530">
          <cell r="A530">
            <v>53570</v>
          </cell>
        </row>
        <row r="531">
          <cell r="A531">
            <v>53600</v>
          </cell>
        </row>
        <row r="532">
          <cell r="A532">
            <v>53631</v>
          </cell>
        </row>
        <row r="533">
          <cell r="A533">
            <v>53661</v>
          </cell>
        </row>
        <row r="534">
          <cell r="A534">
            <v>53692</v>
          </cell>
        </row>
        <row r="535">
          <cell r="A535">
            <v>53723</v>
          </cell>
        </row>
        <row r="536">
          <cell r="A536">
            <v>53751</v>
          </cell>
        </row>
        <row r="537">
          <cell r="A537">
            <v>53782</v>
          </cell>
        </row>
        <row r="538">
          <cell r="A538">
            <v>53812</v>
          </cell>
        </row>
        <row r="539">
          <cell r="A539">
            <v>53843</v>
          </cell>
        </row>
        <row r="540">
          <cell r="A540">
            <v>53873</v>
          </cell>
        </row>
        <row r="541">
          <cell r="A541">
            <v>53904</v>
          </cell>
        </row>
        <row r="542">
          <cell r="A542">
            <v>53935</v>
          </cell>
        </row>
        <row r="543">
          <cell r="A543">
            <v>53965</v>
          </cell>
        </row>
        <row r="544">
          <cell r="A544">
            <v>53996</v>
          </cell>
        </row>
        <row r="545">
          <cell r="A545">
            <v>54026</v>
          </cell>
        </row>
        <row r="546">
          <cell r="A546">
            <v>54057</v>
          </cell>
        </row>
        <row r="547">
          <cell r="A547">
            <v>54088</v>
          </cell>
        </row>
        <row r="548">
          <cell r="A548">
            <v>54117</v>
          </cell>
        </row>
        <row r="549">
          <cell r="A549">
            <v>54148</v>
          </cell>
        </row>
        <row r="550">
          <cell r="A550">
            <v>54178</v>
          </cell>
        </row>
        <row r="551">
          <cell r="A551">
            <v>54209</v>
          </cell>
        </row>
        <row r="552">
          <cell r="A552">
            <v>54239</v>
          </cell>
        </row>
        <row r="553">
          <cell r="A553">
            <v>54270</v>
          </cell>
        </row>
        <row r="554">
          <cell r="A554">
            <v>54301</v>
          </cell>
        </row>
        <row r="555">
          <cell r="A555">
            <v>54331</v>
          </cell>
        </row>
        <row r="556">
          <cell r="A556">
            <v>54362</v>
          </cell>
        </row>
        <row r="557">
          <cell r="A557">
            <v>54392</v>
          </cell>
        </row>
        <row r="558">
          <cell r="A558">
            <v>54423</v>
          </cell>
        </row>
        <row r="559">
          <cell r="A559">
            <v>54454</v>
          </cell>
        </row>
        <row r="560">
          <cell r="A560">
            <v>54482</v>
          </cell>
        </row>
        <row r="561">
          <cell r="A561">
            <v>54513</v>
          </cell>
        </row>
        <row r="562">
          <cell r="A562">
            <v>54543</v>
          </cell>
        </row>
        <row r="563">
          <cell r="A563">
            <v>54574</v>
          </cell>
        </row>
        <row r="564">
          <cell r="A564">
            <v>54604</v>
          </cell>
        </row>
        <row r="565">
          <cell r="A565">
            <v>54635</v>
          </cell>
        </row>
        <row r="566">
          <cell r="A566">
            <v>54666</v>
          </cell>
        </row>
        <row r="567">
          <cell r="A567">
            <v>54696</v>
          </cell>
        </row>
        <row r="568">
          <cell r="A568">
            <v>54727</v>
          </cell>
        </row>
        <row r="569">
          <cell r="A569">
            <v>54757</v>
          </cell>
        </row>
        <row r="570">
          <cell r="A570">
            <v>54788</v>
          </cell>
        </row>
        <row r="571">
          <cell r="A571">
            <v>54819</v>
          </cell>
        </row>
        <row r="572">
          <cell r="A572">
            <v>54847</v>
          </cell>
        </row>
        <row r="573">
          <cell r="A573">
            <v>54878</v>
          </cell>
        </row>
        <row r="574">
          <cell r="A574">
            <v>54908</v>
          </cell>
        </row>
        <row r="575">
          <cell r="A575">
            <v>54939</v>
          </cell>
        </row>
        <row r="576">
          <cell r="A576">
            <v>54969</v>
          </cell>
        </row>
        <row r="577">
          <cell r="A577">
            <v>55000</v>
          </cell>
        </row>
        <row r="578">
          <cell r="A578">
            <v>55031</v>
          </cell>
        </row>
        <row r="579">
          <cell r="A579">
            <v>55061</v>
          </cell>
        </row>
        <row r="580">
          <cell r="A580">
            <v>55092</v>
          </cell>
        </row>
        <row r="581">
          <cell r="A581">
            <v>55122</v>
          </cell>
        </row>
        <row r="582">
          <cell r="A582">
            <v>55153</v>
          </cell>
        </row>
        <row r="583">
          <cell r="A583">
            <v>55184</v>
          </cell>
        </row>
        <row r="584">
          <cell r="A584">
            <v>55212</v>
          </cell>
        </row>
        <row r="585">
          <cell r="A585">
            <v>55243</v>
          </cell>
        </row>
        <row r="586">
          <cell r="A586">
            <v>55273</v>
          </cell>
        </row>
        <row r="587">
          <cell r="A587">
            <v>55304</v>
          </cell>
        </row>
        <row r="588">
          <cell r="A588">
            <v>55334</v>
          </cell>
        </row>
        <row r="589">
          <cell r="A589">
            <v>55365</v>
          </cell>
        </row>
        <row r="590">
          <cell r="A590">
            <v>55396</v>
          </cell>
        </row>
        <row r="591">
          <cell r="A591">
            <v>55426</v>
          </cell>
        </row>
        <row r="592">
          <cell r="A592">
            <v>55457</v>
          </cell>
        </row>
        <row r="593">
          <cell r="A593">
            <v>55487</v>
          </cell>
        </row>
        <row r="594">
          <cell r="A594">
            <v>55518</v>
          </cell>
        </row>
        <row r="595">
          <cell r="A595">
            <v>55549</v>
          </cell>
        </row>
        <row r="596">
          <cell r="A596">
            <v>55578</v>
          </cell>
        </row>
        <row r="597">
          <cell r="A597">
            <v>55609</v>
          </cell>
        </row>
        <row r="598">
          <cell r="A598">
            <v>55639</v>
          </cell>
        </row>
        <row r="599">
          <cell r="A599">
            <v>55670</v>
          </cell>
        </row>
        <row r="600">
          <cell r="A600">
            <v>55700</v>
          </cell>
        </row>
        <row r="601">
          <cell r="A601">
            <v>55731</v>
          </cell>
        </row>
        <row r="602">
          <cell r="A602">
            <v>55762</v>
          </cell>
        </row>
        <row r="603">
          <cell r="A603">
            <v>55792</v>
          </cell>
        </row>
        <row r="604">
          <cell r="A604">
            <v>55823</v>
          </cell>
        </row>
        <row r="605">
          <cell r="A605">
            <v>55853</v>
          </cell>
        </row>
        <row r="606">
          <cell r="A606">
            <v>55884</v>
          </cell>
        </row>
        <row r="607">
          <cell r="A607">
            <v>55915</v>
          </cell>
        </row>
        <row r="608">
          <cell r="A608">
            <v>55943</v>
          </cell>
        </row>
        <row r="609">
          <cell r="A609">
            <v>55974</v>
          </cell>
        </row>
        <row r="610">
          <cell r="A610">
            <v>56004</v>
          </cell>
        </row>
        <row r="611">
          <cell r="A611">
            <v>56035</v>
          </cell>
        </row>
        <row r="612">
          <cell r="A612">
            <v>56065</v>
          </cell>
        </row>
        <row r="613">
          <cell r="A613">
            <v>56096</v>
          </cell>
        </row>
        <row r="614">
          <cell r="A614">
            <v>56127</v>
          </cell>
        </row>
        <row r="615">
          <cell r="A615">
            <v>56157</v>
          </cell>
        </row>
        <row r="616">
          <cell r="A616">
            <v>56188</v>
          </cell>
        </row>
        <row r="617">
          <cell r="A617">
            <v>56218</v>
          </cell>
        </row>
        <row r="618">
          <cell r="A618">
            <v>56249</v>
          </cell>
        </row>
        <row r="619">
          <cell r="A619">
            <v>56280</v>
          </cell>
        </row>
        <row r="620">
          <cell r="A620">
            <v>56308</v>
          </cell>
        </row>
        <row r="621">
          <cell r="A621">
            <v>56339</v>
          </cell>
        </row>
        <row r="622">
          <cell r="A622">
            <v>56369</v>
          </cell>
        </row>
        <row r="623">
          <cell r="A623">
            <v>56400</v>
          </cell>
        </row>
        <row r="624">
          <cell r="A624">
            <v>56430</v>
          </cell>
        </row>
        <row r="625">
          <cell r="A625">
            <v>56461</v>
          </cell>
        </row>
        <row r="626">
          <cell r="A626">
            <v>56492</v>
          </cell>
        </row>
        <row r="627">
          <cell r="A627">
            <v>56522</v>
          </cell>
        </row>
        <row r="628">
          <cell r="A628">
            <v>56553</v>
          </cell>
        </row>
        <row r="629">
          <cell r="A629">
            <v>56583</v>
          </cell>
        </row>
        <row r="630">
          <cell r="A630">
            <v>56614</v>
          </cell>
        </row>
        <row r="631">
          <cell r="A631">
            <v>56645</v>
          </cell>
        </row>
        <row r="632">
          <cell r="A632">
            <v>56673</v>
          </cell>
        </row>
        <row r="633">
          <cell r="A633">
            <v>56704</v>
          </cell>
        </row>
        <row r="634">
          <cell r="A634">
            <v>56734</v>
          </cell>
        </row>
        <row r="635">
          <cell r="A635">
            <v>56765</v>
          </cell>
        </row>
        <row r="636">
          <cell r="A636">
            <v>56795</v>
          </cell>
        </row>
        <row r="637">
          <cell r="A637">
            <v>56826</v>
          </cell>
        </row>
        <row r="638">
          <cell r="A638">
            <v>56857</v>
          </cell>
        </row>
        <row r="639">
          <cell r="A639">
            <v>56887</v>
          </cell>
        </row>
        <row r="640">
          <cell r="A640">
            <v>56918</v>
          </cell>
        </row>
        <row r="641">
          <cell r="A641">
            <v>56948</v>
          </cell>
        </row>
        <row r="642">
          <cell r="A642">
            <v>56979</v>
          </cell>
        </row>
        <row r="643">
          <cell r="A643">
            <v>57010</v>
          </cell>
        </row>
        <row r="644">
          <cell r="A644">
            <v>57039</v>
          </cell>
        </row>
        <row r="645">
          <cell r="A645">
            <v>57070</v>
          </cell>
        </row>
        <row r="646">
          <cell r="A646">
            <v>57100</v>
          </cell>
        </row>
        <row r="647">
          <cell r="A647">
            <v>57131</v>
          </cell>
        </row>
        <row r="648">
          <cell r="A648">
            <v>57161</v>
          </cell>
        </row>
        <row r="649">
          <cell r="A649">
            <v>57192</v>
          </cell>
        </row>
        <row r="650">
          <cell r="A650">
            <v>57223</v>
          </cell>
        </row>
        <row r="651">
          <cell r="A651">
            <v>57253</v>
          </cell>
        </row>
        <row r="652">
          <cell r="A652">
            <v>57284</v>
          </cell>
        </row>
        <row r="653">
          <cell r="A653">
            <v>57314</v>
          </cell>
        </row>
        <row r="654">
          <cell r="A654">
            <v>57345</v>
          </cell>
        </row>
        <row r="655">
          <cell r="A655">
            <v>57376</v>
          </cell>
        </row>
        <row r="656">
          <cell r="A656">
            <v>57404</v>
          </cell>
        </row>
        <row r="657">
          <cell r="A657">
            <v>57435</v>
          </cell>
        </row>
        <row r="658">
          <cell r="A658">
            <v>57465</v>
          </cell>
        </row>
        <row r="659">
          <cell r="A659">
            <v>57496</v>
          </cell>
        </row>
        <row r="660">
          <cell r="A660">
            <v>57526</v>
          </cell>
        </row>
        <row r="661">
          <cell r="A661">
            <v>57557</v>
          </cell>
        </row>
        <row r="662">
          <cell r="A662">
            <v>57588</v>
          </cell>
        </row>
        <row r="663">
          <cell r="A663">
            <v>57618</v>
          </cell>
        </row>
        <row r="664">
          <cell r="A664">
            <v>57649</v>
          </cell>
        </row>
        <row r="665">
          <cell r="A665">
            <v>57679</v>
          </cell>
        </row>
        <row r="666">
          <cell r="A666">
            <v>57710</v>
          </cell>
        </row>
        <row r="667">
          <cell r="A667">
            <v>57741</v>
          </cell>
        </row>
        <row r="668">
          <cell r="A668">
            <v>57769</v>
          </cell>
        </row>
        <row r="669">
          <cell r="A669">
            <v>57800</v>
          </cell>
        </row>
        <row r="670">
          <cell r="A670">
            <v>57830</v>
          </cell>
        </row>
        <row r="671">
          <cell r="A671">
            <v>57861</v>
          </cell>
        </row>
        <row r="672">
          <cell r="A672">
            <v>57891</v>
          </cell>
        </row>
        <row r="673">
          <cell r="A673">
            <v>57922</v>
          </cell>
        </row>
        <row r="674">
          <cell r="A674">
            <v>57953</v>
          </cell>
        </row>
        <row r="675">
          <cell r="A675">
            <v>57983</v>
          </cell>
        </row>
        <row r="676">
          <cell r="A676">
            <v>58014</v>
          </cell>
        </row>
        <row r="677">
          <cell r="A677">
            <v>58044</v>
          </cell>
        </row>
        <row r="678">
          <cell r="A678">
            <v>58075</v>
          </cell>
        </row>
        <row r="679">
          <cell r="A679">
            <v>58106</v>
          </cell>
        </row>
        <row r="680">
          <cell r="A680">
            <v>58134</v>
          </cell>
        </row>
        <row r="681">
          <cell r="A681">
            <v>58165</v>
          </cell>
        </row>
        <row r="682">
          <cell r="A682">
            <v>58195</v>
          </cell>
        </row>
        <row r="683">
          <cell r="A683">
            <v>58226</v>
          </cell>
        </row>
        <row r="684">
          <cell r="A684">
            <v>58256</v>
          </cell>
        </row>
        <row r="685">
          <cell r="A685">
            <v>58287</v>
          </cell>
        </row>
        <row r="686">
          <cell r="A686">
            <v>58318</v>
          </cell>
        </row>
        <row r="687">
          <cell r="A687">
            <v>58348</v>
          </cell>
        </row>
        <row r="688">
          <cell r="A688">
            <v>58379</v>
          </cell>
        </row>
        <row r="689">
          <cell r="A689">
            <v>58409</v>
          </cell>
        </row>
        <row r="690">
          <cell r="A690">
            <v>58440</v>
          </cell>
        </row>
        <row r="691">
          <cell r="A691">
            <v>58471</v>
          </cell>
        </row>
        <row r="692">
          <cell r="A692">
            <v>58500</v>
          </cell>
        </row>
        <row r="693">
          <cell r="A693">
            <v>58531</v>
          </cell>
        </row>
        <row r="694">
          <cell r="A694">
            <v>58561</v>
          </cell>
        </row>
        <row r="695">
          <cell r="A695">
            <v>58592</v>
          </cell>
        </row>
        <row r="696">
          <cell r="A696">
            <v>58622</v>
          </cell>
        </row>
        <row r="697">
          <cell r="A697">
            <v>58653</v>
          </cell>
        </row>
        <row r="698">
          <cell r="A698">
            <v>58684</v>
          </cell>
        </row>
        <row r="699">
          <cell r="A699">
            <v>58714</v>
          </cell>
        </row>
        <row r="700">
          <cell r="A700">
            <v>58745</v>
          </cell>
        </row>
        <row r="701">
          <cell r="A701">
            <v>58775</v>
          </cell>
        </row>
        <row r="702">
          <cell r="A702">
            <v>58806</v>
          </cell>
        </row>
        <row r="703">
          <cell r="A703">
            <v>58837</v>
          </cell>
        </row>
        <row r="704">
          <cell r="A704">
            <v>58865</v>
          </cell>
        </row>
        <row r="705">
          <cell r="A705">
            <v>58896</v>
          </cell>
        </row>
        <row r="706">
          <cell r="A706">
            <v>58926</v>
          </cell>
        </row>
        <row r="707">
          <cell r="A707">
            <v>58957</v>
          </cell>
        </row>
        <row r="708">
          <cell r="A708">
            <v>58987</v>
          </cell>
        </row>
        <row r="709">
          <cell r="A709">
            <v>59018</v>
          </cell>
        </row>
        <row r="710">
          <cell r="A710">
            <v>59049</v>
          </cell>
        </row>
        <row r="711">
          <cell r="A711">
            <v>59079</v>
          </cell>
        </row>
        <row r="712">
          <cell r="A712">
            <v>59110</v>
          </cell>
        </row>
        <row r="713">
          <cell r="A713">
            <v>59140</v>
          </cell>
        </row>
        <row r="714">
          <cell r="A714">
            <v>59171</v>
          </cell>
        </row>
        <row r="715">
          <cell r="A715">
            <v>59202</v>
          </cell>
        </row>
        <row r="716">
          <cell r="A716">
            <v>59230</v>
          </cell>
        </row>
        <row r="717">
          <cell r="A717">
            <v>59261</v>
          </cell>
        </row>
        <row r="718">
          <cell r="A718">
            <v>59291</v>
          </cell>
        </row>
        <row r="719">
          <cell r="A719">
            <v>59322</v>
          </cell>
        </row>
        <row r="720">
          <cell r="A720">
            <v>59352</v>
          </cell>
        </row>
        <row r="721">
          <cell r="A721">
            <v>59383</v>
          </cell>
        </row>
        <row r="722">
          <cell r="A722">
            <v>59414</v>
          </cell>
        </row>
        <row r="723">
          <cell r="A723">
            <v>59444</v>
          </cell>
        </row>
        <row r="724">
          <cell r="A724">
            <v>59475</v>
          </cell>
        </row>
        <row r="725">
          <cell r="A725">
            <v>59505</v>
          </cell>
        </row>
        <row r="726">
          <cell r="A726">
            <v>59536</v>
          </cell>
        </row>
        <row r="727">
          <cell r="A727">
            <v>59567</v>
          </cell>
        </row>
        <row r="728">
          <cell r="A728">
            <v>59595</v>
          </cell>
        </row>
        <row r="729">
          <cell r="A729">
            <v>59626</v>
          </cell>
        </row>
        <row r="730">
          <cell r="A730">
            <v>59656</v>
          </cell>
        </row>
        <row r="731">
          <cell r="A731">
            <v>59687</v>
          </cell>
        </row>
        <row r="732">
          <cell r="A732">
            <v>59717</v>
          </cell>
        </row>
        <row r="733">
          <cell r="A733">
            <v>59748</v>
          </cell>
        </row>
        <row r="734">
          <cell r="A734">
            <v>59779</v>
          </cell>
        </row>
        <row r="735">
          <cell r="A735">
            <v>59809</v>
          </cell>
        </row>
        <row r="736">
          <cell r="A736">
            <v>59840</v>
          </cell>
        </row>
        <row r="737">
          <cell r="A737">
            <v>59870</v>
          </cell>
        </row>
        <row r="738">
          <cell r="A738">
            <v>59901</v>
          </cell>
        </row>
        <row r="739">
          <cell r="A739">
            <v>59932</v>
          </cell>
        </row>
        <row r="740">
          <cell r="A740">
            <v>59961</v>
          </cell>
        </row>
        <row r="741">
          <cell r="A741">
            <v>59992</v>
          </cell>
        </row>
        <row r="742">
          <cell r="A742">
            <v>60022</v>
          </cell>
        </row>
        <row r="743">
          <cell r="A743">
            <v>60053</v>
          </cell>
        </row>
        <row r="744">
          <cell r="A744">
            <v>60083</v>
          </cell>
        </row>
        <row r="745">
          <cell r="A745">
            <v>60114</v>
          </cell>
        </row>
        <row r="746">
          <cell r="A746">
            <v>60145</v>
          </cell>
        </row>
        <row r="747">
          <cell r="A747">
            <v>60175</v>
          </cell>
        </row>
        <row r="748">
          <cell r="A748">
            <v>60206</v>
          </cell>
        </row>
        <row r="749">
          <cell r="A749">
            <v>60236</v>
          </cell>
        </row>
        <row r="750">
          <cell r="A750">
            <v>60267</v>
          </cell>
        </row>
        <row r="751">
          <cell r="A751">
            <v>60298</v>
          </cell>
        </row>
        <row r="752">
          <cell r="A752">
            <v>60326</v>
          </cell>
        </row>
        <row r="753">
          <cell r="A753">
            <v>60357</v>
          </cell>
        </row>
        <row r="754">
          <cell r="A754">
            <v>60387</v>
          </cell>
        </row>
        <row r="755">
          <cell r="A755">
            <v>60418</v>
          </cell>
        </row>
        <row r="756">
          <cell r="A756">
            <v>60448</v>
          </cell>
        </row>
        <row r="757">
          <cell r="A757">
            <v>60479</v>
          </cell>
        </row>
        <row r="758">
          <cell r="A758">
            <v>60510</v>
          </cell>
        </row>
        <row r="759">
          <cell r="A759">
            <v>60540</v>
          </cell>
        </row>
        <row r="760">
          <cell r="A760">
            <v>60571</v>
          </cell>
        </row>
        <row r="761">
          <cell r="A761">
            <v>60601</v>
          </cell>
        </row>
        <row r="762">
          <cell r="A762">
            <v>60632</v>
          </cell>
        </row>
        <row r="763">
          <cell r="A763">
            <v>60663</v>
          </cell>
        </row>
        <row r="764">
          <cell r="A764">
            <v>60691</v>
          </cell>
        </row>
        <row r="765">
          <cell r="A765">
            <v>60722</v>
          </cell>
        </row>
        <row r="766">
          <cell r="A766">
            <v>60752</v>
          </cell>
        </row>
        <row r="767">
          <cell r="A767">
            <v>60783</v>
          </cell>
        </row>
        <row r="768">
          <cell r="A768">
            <v>60813</v>
          </cell>
        </row>
        <row r="769">
          <cell r="A769">
            <v>60844</v>
          </cell>
        </row>
        <row r="770">
          <cell r="A770">
            <v>60875</v>
          </cell>
        </row>
        <row r="771">
          <cell r="A771">
            <v>60905</v>
          </cell>
        </row>
        <row r="772">
          <cell r="A772">
            <v>60936</v>
          </cell>
        </row>
        <row r="773">
          <cell r="A773">
            <v>60966</v>
          </cell>
        </row>
        <row r="774">
          <cell r="A774">
            <v>60997</v>
          </cell>
        </row>
        <row r="775">
          <cell r="A775">
            <v>61028</v>
          </cell>
        </row>
        <row r="776">
          <cell r="A776">
            <v>61056</v>
          </cell>
        </row>
        <row r="777">
          <cell r="A777">
            <v>61087</v>
          </cell>
        </row>
        <row r="778">
          <cell r="A778">
            <v>61117</v>
          </cell>
        </row>
        <row r="779">
          <cell r="A779">
            <v>61148</v>
          </cell>
        </row>
        <row r="780">
          <cell r="A780">
            <v>61178</v>
          </cell>
        </row>
        <row r="781">
          <cell r="A781">
            <v>61209</v>
          </cell>
        </row>
        <row r="782">
          <cell r="A782">
            <v>61240</v>
          </cell>
        </row>
        <row r="783">
          <cell r="A783">
            <v>61270</v>
          </cell>
        </row>
        <row r="784">
          <cell r="A784">
            <v>61301</v>
          </cell>
        </row>
        <row r="785">
          <cell r="A785">
            <v>61331</v>
          </cell>
        </row>
        <row r="786">
          <cell r="A786">
            <v>61362</v>
          </cell>
        </row>
        <row r="787">
          <cell r="A787">
            <v>61393</v>
          </cell>
        </row>
        <row r="788">
          <cell r="A788">
            <v>61422</v>
          </cell>
        </row>
        <row r="789">
          <cell r="A789">
            <v>61453</v>
          </cell>
        </row>
        <row r="790">
          <cell r="A790">
            <v>61483</v>
          </cell>
        </row>
        <row r="791">
          <cell r="A791">
            <v>61514</v>
          </cell>
        </row>
        <row r="792">
          <cell r="A792">
            <v>61544</v>
          </cell>
        </row>
        <row r="793">
          <cell r="A793">
            <v>61575</v>
          </cell>
        </row>
        <row r="794">
          <cell r="A794">
            <v>61606</v>
          </cell>
        </row>
        <row r="795">
          <cell r="A795">
            <v>61636</v>
          </cell>
        </row>
        <row r="796">
          <cell r="A796">
            <v>61667</v>
          </cell>
        </row>
        <row r="797">
          <cell r="A797">
            <v>61697</v>
          </cell>
        </row>
        <row r="798">
          <cell r="A798">
            <v>61728</v>
          </cell>
        </row>
        <row r="799">
          <cell r="A799">
            <v>61759</v>
          </cell>
        </row>
        <row r="800">
          <cell r="A800">
            <v>61787</v>
          </cell>
        </row>
        <row r="801">
          <cell r="A801">
            <v>61818</v>
          </cell>
        </row>
        <row r="802">
          <cell r="A802">
            <v>61848</v>
          </cell>
        </row>
        <row r="803">
          <cell r="A803">
            <v>61879</v>
          </cell>
        </row>
        <row r="804">
          <cell r="A804">
            <v>61909</v>
          </cell>
        </row>
        <row r="805">
          <cell r="A805">
            <v>61940</v>
          </cell>
        </row>
        <row r="806">
          <cell r="A806">
            <v>61971</v>
          </cell>
        </row>
        <row r="807">
          <cell r="A807">
            <v>62001</v>
          </cell>
        </row>
        <row r="808">
          <cell r="A808">
            <v>62032</v>
          </cell>
        </row>
        <row r="809">
          <cell r="A809">
            <v>62062</v>
          </cell>
        </row>
        <row r="810">
          <cell r="A810">
            <v>62093</v>
          </cell>
        </row>
        <row r="811">
          <cell r="A811">
            <v>62124</v>
          </cell>
        </row>
        <row r="812">
          <cell r="A812">
            <v>62152</v>
          </cell>
        </row>
      </sheetData>
    </sheetDataSet>
  </externalBook>
</externalLink>
</file>

<file path=xl/persons/person.xml><?xml version="1.0" encoding="utf-8"?>
<personList xmlns="http://schemas.microsoft.com/office/spreadsheetml/2018/threadedcomments" xmlns:x="http://schemas.openxmlformats.org/spreadsheetml/2006/main">
  <person displayName="tab804" id="{AB0451E4-235D-4934-A28C-750C4FFC9607}" userId="tab804" providerId="None"/>
  <person displayName="Andrew Mark" id="{402C552D-6CFD-4D9F-A6D7-84EBD06F363F}" userId="Andrew Mark" providerId="None"/>
  <person displayName="Ben P Nelson" id="{9746C5A6-F367-40E6-A1FB-7DDB0150D907}" userId="Ben P Nelson" providerId="None"/>
  <person displayName="Jarrod Routh" id="{474AD4D3-AA83-4633-81CC-E88BA0A41325}" userId="Jarrod Routh" providerId="None"/>
  <person displayName="Setong Mavong" id="{01010E07-EFA3-45C6-BCEE-4BA363E3248A}" userId="Setong Mavong" providerId="None"/>
  <person displayName="Aaron J. DeLee" id="{2D5813AE-A835-4069-8A55-5DE2B3889C6F}" userId="Aaron J. DeLee" providerId="None"/>
  <person displayName="David Wemhaner" id="{A6995CC8-834C-4C7D-A989-EA27472566BF}" userId="David Wemhaner" providerId="None"/>
  <person displayName="W Nathan Youngblood" id="{33F00107-71D0-498E-A865-080DF938E6F6}" userId="W Nathan Youngblood" providerId="None"/>
  <person displayName="Andrew Mark" id="{367297B1-71FF-469C-A22B-D664DEA05040}" userId="S::ajm535@ads.northwestern.edu::8f987785-70b9-4a8c-81a3-d77b58cdb386" providerId="AD"/>
  <person displayName="Setong Mavong" id="{FD8BF0EE-5740-4BD4-9028-E52A2D72A86B}" userId="S::swm451@ads.northwestern.edu::89858e48-49e8-4abd-a99c-3f1bb42019b9" providerId="AD"/>
</personList>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1:B42" totalsRowShown="0">
  <autoFilter ref="A1:B42" xr:uid="{00000000-0009-0000-0100-000001000000}"/>
  <tableColumns count="2">
    <tableColumn id="1" xr3:uid="{00000000-0010-0000-0000-000001000000}" name="Date" dataDxfId="0"/>
    <tableColumn id="2" xr3:uid="{00000000-0010-0000-0000-000002000000}" name="Description"/>
  </tableColumns>
  <tableStyleInfo name="TableStyleMedium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A94" dT="2021-12-08T18:57:03.04" personId="{367297B1-71FF-469C-A22B-D664DEA05040}" id="{A2527ABA-9466-41BE-9F05-D44B4C4383C8}">
    <text>This might need to be manually calculated if cost-sharing 12-month faculty salaries, or otherwise deviating for general expected categories.</text>
  </threadedComment>
  <threadedComment ref="A95" dT="2021-12-08T18:57:03.04" personId="{367297B1-71FF-469C-A22B-D664DEA05040}" id="{0B09678B-A176-4B8D-AFA2-877A2840D6AA}">
    <text>This might need to be manually calculated if cost-sharing 12-month faculty salaries, or otherwise deviating for general expected categories.</text>
  </threadedComment>
  <threadedComment ref="A96" dT="2021-12-08T18:57:56.69" personId="{367297B1-71FF-469C-A22B-D664DEA05040}" id="{EA5851B8-BCE4-4B5C-8670-C55D6E821CC3}">
    <text>This must always be a whole number; you cannot have partial quarters.</text>
  </threadedComment>
</ThreadedComments>
</file>

<file path=xl/threadedComments/threadedComment2.xml><?xml version="1.0" encoding="utf-8"?>
<ThreadedComments xmlns="http://schemas.microsoft.com/office/spreadsheetml/2018/threadedcomments" xmlns:x="http://schemas.openxmlformats.org/spreadsheetml/2006/main">
  <threadedComment ref="K8" personId="{402C552D-6CFD-4D9F-A6D7-84EBD06F363F}" id="{6369CA53-D26D-4B95-A046-21B96843330C}">
    <text>You can change this to any date (i.e., mid-month) by removing the data validation for this cell.</text>
  </threadedComment>
  <threadedComment ref="K10" personId="{AB0451E4-235D-4934-A28C-750C4FFC9607}" id="{8981A012-1D59-411A-9FB0-DB0AE400F7C3}">
    <text xml:space="preserve">If the field says #VALUE!, go to Tools &gt; Add-Ins and click on Analysis Toolpak then reselect Budget Year Start </text>
  </threadedComment>
  <threadedComment ref="M14" personId="{A6995CC8-834C-4C7D-A989-EA27472566BF}" id="{FC1E02BD-51D0-43D4-AAA3-AE2305412672}">
    <text>Cost share effort can only be committed for academic (if 9 month) or calendar (if 10, 11, or 12 month) months.</text>
  </threadedComment>
  <threadedComment ref="B15" personId="{402C552D-6CFD-4D9F-A6D7-84EBD06F363F}" id="{4DFCB001-A623-4D29-B8A5-495473D63A06}">
    <text>Type PI name here.  It will automatically copy to all other budget pages.</text>
  </threadedComment>
  <threadedComment ref="L15" personId="{AB0451E4-235D-4934-A28C-750C4FFC9607}" id="{7527E054-8A64-467E-958C-6E4C9FC70413}">
    <text>Auto calculates fringe by personnel salary entered to left, based on project start date entered above.</text>
  </threadedComment>
  <threadedComment ref="H32" personId="{AB0451E4-235D-4934-A28C-750C4FFC9607}" id="{DBA35FB5-2C01-4580-BCB4-109652B40B42}">
    <text>Enter number person months here, based on a standard 12-month appointment.</text>
  </threadedComment>
  <threadedComment ref="P32" personId="{01010E07-EFA3-45C6-BCEE-4BA363E3248A}" id="{C818A039-517C-4256-B74E-E9C063CB2E94}">
    <text>Northwestern minimum for salary. Update if higher.</text>
  </threadedComment>
  <threadedComment ref="H33" personId="{AB0451E4-235D-4934-A28C-750C4FFC9607}" id="{6C8C2D62-1CF6-4290-B405-C8F725DB4E20}">
    <text>Enter number person months here, based on a standard 12-month appointment.</text>
  </threadedComment>
  <threadedComment ref="H34" personId="{AB0451E4-235D-4934-A28C-750C4FFC9607}" id="{6C8C2D62-1CF6-4291-B405-C8F725DB4E20}">
    <text>Enter number person months here, based on a standard 12-month appointment.</text>
  </threadedComment>
  <threadedComment ref="H35" personId="{AB0451E4-235D-4934-A28C-750C4FFC9607}" id="{6C8C2D62-1CF6-4292-B405-C8F725DB4E20}">
    <text>Enter number person months here, based on a standard 12-month appointment.</text>
  </threadedComment>
  <threadedComment ref="H36" personId="{AB0451E4-235D-4934-A28C-750C4FFC9607}" id="{6C8C2D62-1CF6-4293-B405-C8F725DB4E20}">
    <text>Enter number person months here, based on a standard 12-month appointment.</text>
  </threadedComment>
  <threadedComment ref="H37" personId="{AB0451E4-235D-4934-A28C-750C4FFC9607}" id="{6C8C2D62-1CF6-4294-B405-C8F725DB4E20}">
    <text>Enter number person months here, based on a standard 12-month appointment.</text>
  </threadedComment>
  <threadedComment ref="B38" personId="{AB0451E4-235D-4934-A28C-750C4FFC9607}" id="{6CF4F895-08BC-48A6-B001-775D240FA0AC}">
    <text>Insert number of graduate students here.
This will drive the tuition cost to grant, in the Other Direct Costs section.</text>
  </threadedComment>
  <threadedComment ref="H38" personId="{AB0451E4-235D-4934-A28C-750C4FFC9607}" id="{6C8C2D62-1CF6-4295-B405-C8F725DB4E20}">
    <text>Enter number person months here, based on a standard 12-month appointment.</text>
  </threadedComment>
  <threadedComment ref="L38" personId="{402C552D-6CFD-4D9F-A6D7-84EBD06F363F}" id="{293FB106-48BE-4B27-A4E4-CA40AC724B19}">
    <text>This field is calculated with graduate student fringe rate.</text>
  </threadedComment>
  <threadedComment ref="P38" dT="2022-01-04T15:53:20.36" personId="{367297B1-71FF-469C-A22B-D664DEA05040}" id="{3D6D8F24-D98F-4C06-BDD9-81C3C3ABF513}">
    <text>Per TGS minimum rates: $2,848 per month for FY22 and $2,933 per month for FY23. Assume a 3% increase for outyears.</text>
  </threadedComment>
  <threadedComment ref="H39" personId="{AB0451E4-235D-4934-A28C-750C4FFC9607}" id="{6C8C2D62-1CF6-4296-B405-C8F725DB4E20}">
    <text>Enter number person months here, based on a standard 12-month appointment.</text>
  </threadedComment>
  <threadedComment ref="H40" personId="{AB0451E4-235D-4934-A28C-750C4FFC9607}" id="{6C8C2D62-1CF6-4297-B405-C8F725DB4E20}">
    <text>Enter number person months here, based on a standard 12-month appointment.</text>
  </threadedComment>
  <threadedComment ref="L40" personId="{474AD4D3-AA83-4633-81CC-E88BA0A41325}" id="{C8309D82-3090-4E9D-96F9-328DE2236420}">
    <text>This field is calculated with statutory fringe rate.</text>
  </threadedComment>
  <threadedComment ref="C60" personId="{402C552D-6CFD-4D9F-A6D7-84EBD06F363F}" id="{173F25F3-0814-47E6-80EB-005C49D8B573}">
    <text>Example: Laboratory services, human subject fees, animal subject costs</text>
  </threadedComment>
  <threadedComment ref="C61" personId="{402C552D-6CFD-4D9F-A6D7-84EBD06F363F}" id="{81C83F75-A71A-493D-8502-E7A14E5FA519}">
    <text>Example: Participant support costs</text>
  </threadedComment>
  <threadedComment ref="G77" dT="2019-10-23T15:40:19.51" personId="{FD8BF0EE-5740-4BD4-9028-E52A2D72A86B}" id="{EA01ED2B-3194-4675-A59A-426EC969B3E0}">
    <text>Listed rate is for the BP's starting Month, F&amp;A is calculated using a blended rate. Unless manually modified.</text>
  </threadedComment>
</ThreadedComments>
</file>

<file path=xl/threadedComments/threadedComment3.xml><?xml version="1.0" encoding="utf-8"?>
<ThreadedComments xmlns="http://schemas.microsoft.com/office/spreadsheetml/2018/threadedcomments" xmlns:x="http://schemas.openxmlformats.org/spreadsheetml/2006/main">
  <threadedComment ref="N2" personId="{402C552D-6CFD-4D9F-A6D7-84EBD06F363F}" id="{C2574E76-ECC7-4B40-829C-703FD11191FE}">
    <text>Enter # of days here.</text>
  </threadedComment>
  <threadedComment ref="N3" personId="{402C552D-6CFD-4D9F-A6D7-84EBD06F363F}" id="{14AA5514-A76C-4AF1-ACD7-418E35426D6F}">
    <text>Enter # of travelers here.</text>
  </threadedComment>
  <threadedComment ref="N4" personId="{402C552D-6CFD-4D9F-A6D7-84EBD06F363F}" id="{B1CEFA16-FC0F-4D85-94C6-AD7862EB6F84}">
    <text>Enter cost-share percentage here.</text>
  </threadedComment>
  <threadedComment ref="I9" personId="{402C552D-6CFD-4D9F-A6D7-84EBD06F363F}" id="{2DB2304C-B95C-427E-8EA3-337D3D66F91D}">
    <text>Enter the identifier here.</text>
  </threadedComment>
  <threadedComment ref="J9" personId="{402C552D-6CFD-4D9F-A6D7-84EBD06F363F}" id="{2DB2304C-B95C-427F-8EA3-337D3D66F91D}">
    <text>Enter the identifier here.</text>
  </threadedComment>
  <threadedComment ref="K9" personId="{402C552D-6CFD-4D9F-A6D7-84EBD06F363F}" id="{2DB2304C-B95C-4280-8EA3-337D3D66F91D}">
    <text>Enter the identifier here.</text>
  </threadedComment>
  <threadedComment ref="I10" personId="{402C552D-6CFD-4D9F-A6D7-84EBD06F363F}" id="{2DB2304C-B95C-4281-8EA3-337D3D66F91D}">
    <text>Enter the identifier here.</text>
  </threadedComment>
  <threadedComment ref="J10" personId="{402C552D-6CFD-4D9F-A6D7-84EBD06F363F}" id="{2DB2304C-B95C-4282-8EA3-337D3D66F91D}">
    <text>Enter the identifier here.</text>
  </threadedComment>
  <threadedComment ref="K10" personId="{402C552D-6CFD-4D9F-A6D7-84EBD06F363F}" id="{2DB2304C-B95C-4283-8EA3-337D3D66F91D}">
    <text>Enter the identifier here.</text>
  </threadedComment>
  <threadedComment ref="I11" personId="{402C552D-6CFD-4D9F-A6D7-84EBD06F363F}" id="{2DB2304C-B95C-4284-8EA3-337D3D66F91D}">
    <text>Enter the identifier here.</text>
  </threadedComment>
  <threadedComment ref="J11" personId="{402C552D-6CFD-4D9F-A6D7-84EBD06F363F}" id="{2DB2304C-B95C-4285-8EA3-337D3D66F91D}">
    <text>Enter the identifier here.</text>
  </threadedComment>
  <threadedComment ref="K11" personId="{402C552D-6CFD-4D9F-A6D7-84EBD06F363F}" id="{2DB2304C-B95C-4286-8EA3-337D3D66F91D}">
    <text>Enter the identifier here.</text>
  </threadedComment>
  <threadedComment ref="I12" personId="{402C552D-6CFD-4D9F-A6D7-84EBD06F363F}" id="{2DB2304C-B95C-4287-8EA3-337D3D66F91D}">
    <text>Enter the identifier here.</text>
  </threadedComment>
  <threadedComment ref="J12" personId="{402C552D-6CFD-4D9F-A6D7-84EBD06F363F}" id="{2DB2304C-B95C-4288-8EA3-337D3D66F91D}">
    <text>Enter the identifier here.</text>
  </threadedComment>
  <threadedComment ref="K12" personId="{402C552D-6CFD-4D9F-A6D7-84EBD06F363F}" id="{2DB2304C-B95C-4289-8EA3-337D3D66F91D}">
    <text>Enter the identifier here.</text>
  </threadedComment>
  <threadedComment ref="I13" personId="{402C552D-6CFD-4D9F-A6D7-84EBD06F363F}" id="{2DB2304C-B95C-428A-8EA3-337D3D66F91D}">
    <text>Enter the identifier here.</text>
  </threadedComment>
  <threadedComment ref="J13" personId="{402C552D-6CFD-4D9F-A6D7-84EBD06F363F}" id="{2DB2304C-B95C-428B-8EA3-337D3D66F91D}">
    <text>Enter the identifier here.</text>
  </threadedComment>
  <threadedComment ref="K13" personId="{402C552D-6CFD-4D9F-A6D7-84EBD06F363F}" id="{2DB2304C-B95C-428C-8EA3-337D3D66F91D}">
    <text>Enter the identifier here.</text>
  </threadedComment>
  <threadedComment ref="H17" personId="{402C552D-6CFD-4D9F-A6D7-84EBD06F363F}" id="{1AAA62DA-7E97-400D-8517-CDCB601DBAE6}">
    <text xml:space="preserve">If (domestic) destination is unknown, use these rates for Lodging and M&amp;IE.
</text>
  </threadedComment>
</ThreadedComments>
</file>

<file path=xl/threadedComments/threadedComment4.xml><?xml version="1.0" encoding="utf-8"?>
<ThreadedComments xmlns="http://schemas.microsoft.com/office/spreadsheetml/2018/threadedcomments" xmlns:x="http://schemas.openxmlformats.org/spreadsheetml/2006/main">
  <threadedComment ref="J74" personId="{33F00107-71D0-498E-A865-080DF938E6F6}" id="{B0425895-DF47-4AAF-8014-7F94219A5AB3}">
    <text>Rates are actual FY13 benefit rates from 7/30/12 Eugene Sunshine memo.</text>
  </threadedComment>
  <threadedComment ref="L74" personId="{33F00107-71D0-498E-A865-080DF938E6F6}" id="{9912DD39-F228-4D44-B35E-29A065A6FA9B}">
    <text>Quarterly rate per TGS 5/17/12.</text>
  </threadedComment>
  <threadedComment ref="J86" personId="{33F00107-71D0-498E-A865-080DF938E6F6}" id="{4144F7DA-1B19-419C-AC48-129DE91EC6D2}">
    <text>Rates from 7/30/12 Eugene Sunshine memo - projected for FY14-17.</text>
  </threadedComment>
  <threadedComment ref="L86" personId="{2D5813AE-A835-4069-8A55-5DE2B3889C6F}" id="{A02FC428-DB01-4A4F-8FA8-5D1B2511B3DC}">
    <text>Quarterly rate per TGS 4/30/13</text>
  </threadedComment>
  <threadedComment ref="L98" personId="{402C552D-6CFD-4D9F-A6D7-84EBD06F363F}" id="{A23EB8FD-9445-47F3-BFAE-B8A745B02816}">
    <text>Quarterly rates per TGS 05/01/2014</text>
  </threadedComment>
  <threadedComment ref="L110" personId="{402C552D-6CFD-4D9F-A6D7-84EBD06F363F}" id="{357B9499-0C55-42C1-A4AD-6E5FA7308C7F}">
    <text>Quarterly rates per TGS 06/08/2015</text>
  </threadedComment>
  <threadedComment ref="L122" personId="{9746C5A6-F367-40E6-A1FB-7DDB0150D907}" id="{FC5707F5-C204-4E6C-A969-32BC2DAC9D48}">
    <text>Quarterly rates per TGS  5/2/2016</text>
  </threadedComment>
  <threadedComment ref="L134" personId="{A6995CC8-834C-4C7D-A989-EA27472566BF}" id="{20FFDB19-2A8D-4CD1-A853-78D0E90A84C2}">
    <text>Quarterly Rate per TGS 5/24/17</text>
  </threadedComment>
  <threadedComment ref="L146" personId="{402C552D-6CFD-4D9F-A6D7-84EBD06F363F}" id="{70230BEA-0414-40E2-940C-4795E40BC65F}">
    <text>Quarterly Rate per TGS 5/9/18</text>
  </threadedComment>
  <threadedComment ref="L158" personId="{01010E07-EFA3-45C6-BCEE-4BA363E3248A}" id="{45D01AEB-4856-489D-A276-41DC0FF49D19}">
    <text>Quarter PI Rate per TGS (3/12/19)</text>
  </threadedComment>
  <threadedComment ref="L170" personId="{01010E07-EFA3-45C6-BCEE-4BA363E3248A}" id="{45D01AEB-4856-489E-A276-41DC0FF49D19}">
    <text>Quarter PI Rate per TGS (3/12/19)</text>
  </threadedComment>
  <threadedComment ref="L182" dT="2022-01-04T15:54:43.34" personId="{367297B1-71FF-469C-A22B-D664DEA05040}" id="{4804F61B-4433-404E-A0CC-F11D09B237B0}">
    <text>Quarter PI Rate per TGS (1/4/21)</text>
  </threadedComment>
  <threadedComment ref="L194" dT="2022-01-04T15:54:57.47" personId="{367297B1-71FF-469C-A22B-D664DEA05040}" id="{14D0C4D4-BD87-4EC5-AE3D-AE7C134BD7AE}">
    <text>Quarter PI Rate per TGS (1/4/22)</text>
  </threadedComment>
</ThreadedComments>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 Id="rId4" Type="http://schemas.microsoft.com/office/2017/10/relationships/threadedComment" Target="../threadedComments/threadedComment1.xml"/></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 Id="rId4" Type="http://schemas.microsoft.com/office/2017/10/relationships/threadedComment" Target="../threadedComments/threadedComment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8" Type="http://schemas.openxmlformats.org/officeDocument/2006/relationships/printerSettings" Target="../printerSettings/printerSettings12.bin"/><Relationship Id="rId3" Type="http://schemas.openxmlformats.org/officeDocument/2006/relationships/hyperlink" Target="http://aoprals.state.gov/web920/per_diem.asp" TargetMode="External"/><Relationship Id="rId7" Type="http://schemas.openxmlformats.org/officeDocument/2006/relationships/hyperlink" Target="https://aoprals.state.gov/web920/per_diem.asp" TargetMode="External"/><Relationship Id="rId2" Type="http://schemas.openxmlformats.org/officeDocument/2006/relationships/hyperlink" Target="http://www.defensetravel.dod.mil/site/perdiemCalc.cfm" TargetMode="External"/><Relationship Id="rId1" Type="http://schemas.openxmlformats.org/officeDocument/2006/relationships/hyperlink" Target="http://www.gsa.gov/portal/content/104877" TargetMode="External"/><Relationship Id="rId6" Type="http://schemas.openxmlformats.org/officeDocument/2006/relationships/hyperlink" Target="http://www.defensetravel.dod.mil/site/perdiemCalc.cfm" TargetMode="External"/><Relationship Id="rId11" Type="http://schemas.microsoft.com/office/2017/10/relationships/threadedComment" Target="../threadedComments/threadedComment3.xml"/><Relationship Id="rId5" Type="http://schemas.openxmlformats.org/officeDocument/2006/relationships/hyperlink" Target="http://www.northwestern.edu/uservices/travel/index.html" TargetMode="External"/><Relationship Id="rId10" Type="http://schemas.openxmlformats.org/officeDocument/2006/relationships/comments" Target="../comments3.xml"/><Relationship Id="rId4" Type="http://schemas.openxmlformats.org/officeDocument/2006/relationships/hyperlink" Target="http://www.defensetravel.dod.mil/site/perdiemCalc.cfm" TargetMode="External"/><Relationship Id="rId9" Type="http://schemas.openxmlformats.org/officeDocument/2006/relationships/vmlDrawing" Target="../drawings/vmlDrawing3.vml"/></Relationships>
</file>

<file path=xl/worksheets/_rels/sheet13.xml.rels><?xml version="1.0" encoding="UTF-8" standalone="yes"?>
<Relationships xmlns="http://schemas.openxmlformats.org/package/2006/relationships"><Relationship Id="rId2" Type="http://schemas.openxmlformats.org/officeDocument/2006/relationships/printerSettings" Target="../printerSettings/printerSettings13.bin"/><Relationship Id="rId1" Type="http://schemas.openxmlformats.org/officeDocument/2006/relationships/hyperlink" Target="http://grants.nih.gov/training/phs2271.pdf" TargetMode="External"/></Relationships>
</file>

<file path=xl/worksheets/_rels/sheet14.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14.bin"/><Relationship Id="rId4" Type="http://schemas.microsoft.com/office/2017/10/relationships/threadedComment" Target="../threadedComments/threadedComment4.xml"/></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printerSettings" Target="../printerSettings/printerSettings17.bin"/><Relationship Id="rId2" Type="http://schemas.openxmlformats.org/officeDocument/2006/relationships/hyperlink" Target="https://www.northwestern.edu/coststudies/fa.html" TargetMode="External"/><Relationship Id="rId1" Type="http://schemas.openxmlformats.org/officeDocument/2006/relationships/hyperlink" Target="mailto:SponsoredResearch@northwestern.edu" TargetMode="External"/></Relationships>
</file>

<file path=xl/worksheets/_rels/sheet18.xml.rels><?xml version="1.0" encoding="UTF-8" standalone="yes"?>
<Relationships xmlns="http://schemas.openxmlformats.org/package/2006/relationships"><Relationship Id="rId3" Type="http://schemas.openxmlformats.org/officeDocument/2006/relationships/hyperlink" Target="https://nucore.northwestern.edu/facilities" TargetMode="External"/><Relationship Id="rId2" Type="http://schemas.openxmlformats.org/officeDocument/2006/relationships/hyperlink" Target="https://nucore.northwestern.edu/facilities" TargetMode="External"/><Relationship Id="rId1" Type="http://schemas.openxmlformats.org/officeDocument/2006/relationships/hyperlink" Target="https://nucore.northwestern.edu/facilities" TargetMode="External"/><Relationship Id="rId4"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filterMode="1">
    <tabColor theme="6" tint="0.59999389629810485"/>
    <pageSetUpPr fitToPage="1"/>
  </sheetPr>
  <dimension ref="A1:AE94"/>
  <sheetViews>
    <sheetView workbookViewId="0">
      <selection activeCell="I1" sqref="I1"/>
    </sheetView>
  </sheetViews>
  <sheetFormatPr defaultColWidth="9.140625" defaultRowHeight="15.75"/>
  <cols>
    <col min="1" max="1" width="47.5703125" style="61" bestFit="1" customWidth="1"/>
    <col min="2" max="7" width="12.5703125" style="61" customWidth="1"/>
    <col min="8" max="8" width="3.85546875" style="61" customWidth="1"/>
    <col min="9" max="9" width="35.7109375" style="61" customWidth="1"/>
    <col min="10" max="10" width="3.85546875" style="61" customWidth="1"/>
    <col min="11" max="13" width="8.85546875" style="61" customWidth="1"/>
    <col min="14" max="31" width="8.28515625" style="61" customWidth="1"/>
    <col min="32" max="16384" width="9.140625" style="61"/>
  </cols>
  <sheetData>
    <row r="1" spans="1:31" ht="31.5" customHeight="1" thickBot="1">
      <c r="A1" s="601" t="str">
        <f>'BP1'!A1:L1</f>
        <v>Title</v>
      </c>
      <c r="B1" s="602"/>
      <c r="C1" s="602"/>
      <c r="D1" s="602"/>
      <c r="E1" s="602"/>
      <c r="F1" s="602"/>
      <c r="G1" s="603"/>
      <c r="I1" s="120" t="s">
        <v>187</v>
      </c>
      <c r="K1" s="598" t="s">
        <v>226</v>
      </c>
      <c r="L1" s="599"/>
      <c r="M1" s="599"/>
      <c r="N1" s="599"/>
      <c r="O1" s="599"/>
      <c r="P1" s="599"/>
      <c r="Q1" s="599"/>
      <c r="R1" s="599"/>
      <c r="S1" s="599"/>
      <c r="T1" s="599"/>
      <c r="U1" s="599"/>
      <c r="V1" s="599"/>
      <c r="W1" s="599"/>
      <c r="X1" s="599"/>
      <c r="Y1" s="599"/>
      <c r="Z1" s="599"/>
      <c r="AA1" s="599"/>
      <c r="AB1" s="599"/>
      <c r="AC1" s="599"/>
      <c r="AD1" s="599"/>
      <c r="AE1" s="600"/>
    </row>
    <row r="2" spans="1:31" ht="31.5" customHeight="1">
      <c r="A2" s="443" t="str">
        <f>"Northwestern PI 
"&amp;'BP1'!A11</f>
        <v>Northwestern PI 
Professor McCormick</v>
      </c>
      <c r="B2" s="611" t="str">
        <f>CONCATENATE("Start Date: 
",TEXT('BP1'!K8,"mmmm d, yyyy"))</f>
        <v>Start Date: 
September 1, 2022</v>
      </c>
      <c r="C2" s="612"/>
      <c r="D2" s="611" t="str">
        <f ca="1">CONCATENATE("End Date: 
",TEXT(INDIRECT("BP"&amp;'BP1'!K5&amp;"!K10"),"mmmm d, yyyy"))</f>
        <v>End Date: 
August 31, 2023</v>
      </c>
      <c r="E2" s="612"/>
      <c r="F2" s="609" t="str">
        <f>CONCATENATE('BP1'!K5," ","Budget Period",IF('BP1'!K5&gt;1,"s",""))</f>
        <v>1 Budget Period</v>
      </c>
      <c r="G2" s="610"/>
      <c r="I2" s="116" t="s">
        <v>219</v>
      </c>
      <c r="K2" s="208"/>
      <c r="L2" s="208"/>
      <c r="M2" s="208"/>
      <c r="N2" s="208"/>
      <c r="O2" s="208"/>
      <c r="P2" s="208"/>
    </row>
    <row r="3" spans="1:31">
      <c r="A3" s="606" t="str">
        <f>IF('BP1'!L2="No F&amp;A","No Indirect Costs",CONCATENATE("Initial Fiscal Year ",'BP1'!K2," ",'BP1'!L2," F&amp;A Rate of ",IF('BP1'!L2="Custom",TEXT('BP1'!I77,"0.00%"),TEXT('BP1'!G77,"0.00%"))))</f>
        <v>Initial Fiscal Year Federal On Campus F&amp;A Rate of 60.00%</v>
      </c>
      <c r="B3" s="607"/>
      <c r="C3" s="608"/>
      <c r="D3" s="444" t="str">
        <f>'BP1'!K3</f>
        <v>MTDC</v>
      </c>
      <c r="E3" s="613" t="str">
        <f>CONCATENATE(TEXT('BP1'!$K$7,"0.00%")," ","Annual Salary Increase")</f>
        <v>3.00% Annual Salary Increase</v>
      </c>
      <c r="F3" s="614"/>
      <c r="G3" s="615"/>
      <c r="I3" s="116" t="s">
        <v>219</v>
      </c>
      <c r="K3" s="208"/>
      <c r="L3" s="208"/>
      <c r="M3" s="208"/>
      <c r="N3" s="208"/>
      <c r="O3" s="208"/>
      <c r="P3" s="208"/>
    </row>
    <row r="4" spans="1:31" ht="16.5" thickBot="1">
      <c r="A4" s="604" t="str">
        <f ca="1">IF('BP1'!N84&gt;0,"WARNING! You have budgeted cost-share funds. Please use the Cost Share Summary!","")</f>
        <v/>
      </c>
      <c r="B4" s="604"/>
      <c r="C4" s="604"/>
      <c r="D4" s="604"/>
      <c r="E4" s="604"/>
      <c r="F4" s="604"/>
      <c r="G4" s="604"/>
      <c r="I4" s="116" t="s">
        <v>219</v>
      </c>
      <c r="K4" s="208"/>
      <c r="L4" s="208"/>
      <c r="M4" s="208"/>
      <c r="N4" s="208"/>
      <c r="O4" s="208"/>
      <c r="P4" s="208"/>
    </row>
    <row r="5" spans="1:31" ht="31.5" customHeight="1">
      <c r="A5" s="62"/>
      <c r="B5" s="432" t="s">
        <v>424</v>
      </c>
      <c r="C5" s="432" t="str">
        <f>IF('BP1'!$K$5&gt;1,"Budget Period 2","")</f>
        <v/>
      </c>
      <c r="D5" s="432" t="str">
        <f>IF('BP1'!$K$5&gt;2,"Budget Period 3","")</f>
        <v/>
      </c>
      <c r="E5" s="432" t="str">
        <f>IF('BP1'!$K$5&gt;3,"Budget Period 4","")</f>
        <v/>
      </c>
      <c r="F5" s="432" t="str">
        <f>IF('BP1'!$K$5&gt;4,"Budget Period 5","")</f>
        <v/>
      </c>
      <c r="G5" s="434" t="s">
        <v>290</v>
      </c>
      <c r="I5" s="116" t="s">
        <v>219</v>
      </c>
    </row>
    <row r="6" spans="1:31" ht="31.5" customHeight="1" thickBot="1">
      <c r="A6" s="62"/>
      <c r="B6" s="433" t="str">
        <f>IF('BP1'!K5&gt;0,CONCATENATE(TEXT('BP1'!K8,"m/d/yy")," - ",TEXT('BP1'!K10,"m/d/yy")),"")</f>
        <v>9/1/22 - 8/31/23</v>
      </c>
      <c r="C6" s="433" t="str">
        <f>IF('BP1'!$K$5&gt;1,CONCATENATE(TEXT('BP2'!$K$8,"m/d/yy")," - ",TEXT('BP2'!$K$10,"m/d/yy")),"")</f>
        <v/>
      </c>
      <c r="D6" s="433" t="str">
        <f>IF('BP1'!$K$5&gt;2,CONCATENATE(TEXT('BP3'!$K$8,"m/d/yy")," - ",TEXT('BP3'!$K$10,"m/d/yy")),"")</f>
        <v/>
      </c>
      <c r="E6" s="433" t="str">
        <f>IF('BP1'!$K$5&gt;3,CONCATENATE(TEXT('BP4'!$K$8,"m/d/yy")," - ",TEXT('BP4'!$K$10,"m/d/yy")),"")</f>
        <v/>
      </c>
      <c r="F6" s="433" t="str">
        <f>IF('BP1'!$K$5&gt;4,CONCATENATE(TEXT('BP5'!$K$8,"m/d/yy")," - ",TEXT('BP5'!$K$10,"m/d/yy")),"")</f>
        <v/>
      </c>
      <c r="G6" s="435" t="str">
        <f ca="1">CONCATENATE(TEXT('BP1'!K8,"m/d/yy")," - ",TEXT(INDIRECT("BP"&amp;'BP1'!K5&amp;"!K10"),"m/d/yy"))</f>
        <v>9/1/22 - 8/31/23</v>
      </c>
      <c r="I6" s="116" t="s">
        <v>219</v>
      </c>
      <c r="K6" s="605" t="s">
        <v>227</v>
      </c>
      <c r="L6" s="605"/>
      <c r="M6" s="605"/>
      <c r="N6" s="616" t="s">
        <v>424</v>
      </c>
      <c r="O6" s="617"/>
      <c r="P6" s="618"/>
      <c r="Q6" s="616" t="s">
        <v>425</v>
      </c>
      <c r="R6" s="617"/>
      <c r="S6" s="618"/>
      <c r="T6" s="616" t="s">
        <v>426</v>
      </c>
      <c r="U6" s="617"/>
      <c r="V6" s="618"/>
      <c r="W6" s="619" t="s">
        <v>427</v>
      </c>
      <c r="X6" s="619"/>
      <c r="Y6" s="619"/>
      <c r="Z6" s="616" t="s">
        <v>428</v>
      </c>
      <c r="AA6" s="617"/>
      <c r="AB6" s="618"/>
      <c r="AC6" s="616" t="s">
        <v>97</v>
      </c>
      <c r="AD6" s="617"/>
      <c r="AE6" s="618"/>
    </row>
    <row r="7" spans="1:31" ht="15.75" customHeight="1">
      <c r="A7" s="64" t="str">
        <f>IF('BP1'!$B$15="Professor McCormick","Senior Personnel 1 Salary",IF(ISBLANK('BP1'!$B$15),"Senior Personnel 1 Salary",""&amp;'BP1'!$B$15&amp;" Salary"))</f>
        <v>Senior Personnel 1 Salary</v>
      </c>
      <c r="B7" s="418">
        <f>'BP1'!$K$15</f>
        <v>0</v>
      </c>
      <c r="C7" s="418">
        <f ca="1">'BP2'!$K$15</f>
        <v>0</v>
      </c>
      <c r="D7" s="418">
        <f ca="1">'BP3'!$K$15</f>
        <v>0</v>
      </c>
      <c r="E7" s="418">
        <f ca="1">'BP4'!$K$15</f>
        <v>0</v>
      </c>
      <c r="F7" s="419">
        <f ca="1">'BP5'!$K$15</f>
        <v>0</v>
      </c>
      <c r="G7" s="418">
        <f ca="1">SUM(B7:F7)</f>
        <v>0</v>
      </c>
      <c r="I7" s="116" t="s">
        <v>219</v>
      </c>
      <c r="K7" s="592" t="str">
        <f>IF('BP1'!$B$15="Professor McCormick","Senior Personnel 1",IF(ISBLANK('BP1'!$B$15),"Senior Personnel 1",'BP1'!$B$15))</f>
        <v>Senior Personnel 1</v>
      </c>
      <c r="L7" s="593"/>
      <c r="M7" s="594"/>
      <c r="N7" s="569" t="s">
        <v>2</v>
      </c>
      <c r="O7" s="571" t="s">
        <v>198</v>
      </c>
      <c r="P7" s="571" t="s">
        <v>199</v>
      </c>
      <c r="Q7" s="569" t="s">
        <v>2</v>
      </c>
      <c r="R7" s="571" t="s">
        <v>198</v>
      </c>
      <c r="S7" s="571" t="s">
        <v>199</v>
      </c>
      <c r="T7" s="569" t="s">
        <v>2</v>
      </c>
      <c r="U7" s="571" t="s">
        <v>198</v>
      </c>
      <c r="V7" s="571" t="s">
        <v>199</v>
      </c>
      <c r="W7" s="569" t="s">
        <v>2</v>
      </c>
      <c r="X7" s="571" t="s">
        <v>198</v>
      </c>
      <c r="Y7" s="571" t="s">
        <v>199</v>
      </c>
      <c r="Z7" s="569" t="s">
        <v>2</v>
      </c>
      <c r="AA7" s="571" t="s">
        <v>198</v>
      </c>
      <c r="AB7" s="571" t="s">
        <v>199</v>
      </c>
      <c r="AC7" s="569" t="s">
        <v>2</v>
      </c>
      <c r="AD7" s="571" t="s">
        <v>198</v>
      </c>
      <c r="AE7" s="571" t="s">
        <v>199</v>
      </c>
    </row>
    <row r="8" spans="1:31" ht="15.75" customHeight="1">
      <c r="A8" s="64" t="str">
        <f>IF('BP1'!$B$15="Professor McCormick","Senior Personnel 1 Fringe",IF(ISBLANK('BP1'!$B$15),"Senior Personnel 1 Fringe",""&amp;'BP1'!$B$15&amp;" Fringe"))</f>
        <v>Senior Personnel 1 Fringe</v>
      </c>
      <c r="B8" s="418">
        <f>'BP1'!$L$15</f>
        <v>0</v>
      </c>
      <c r="C8" s="418">
        <f ca="1">'BP2'!$L$15</f>
        <v>0</v>
      </c>
      <c r="D8" s="418">
        <f ca="1">'BP3'!$L$15</f>
        <v>0</v>
      </c>
      <c r="E8" s="418">
        <f ca="1">'BP4'!$L$15</f>
        <v>0</v>
      </c>
      <c r="F8" s="419">
        <f ca="1">'BP5'!$L$15</f>
        <v>0</v>
      </c>
      <c r="G8" s="418">
        <f t="shared" ref="G8:G79" ca="1" si="0">SUM(B8:F8)</f>
        <v>0</v>
      </c>
      <c r="I8" s="116" t="s">
        <v>219</v>
      </c>
      <c r="K8" s="595"/>
      <c r="L8" s="596"/>
      <c r="M8" s="597"/>
      <c r="N8" s="570">
        <f>'BP1'!H15</f>
        <v>0</v>
      </c>
      <c r="O8" s="572">
        <f>'BP1'!I15</f>
        <v>0</v>
      </c>
      <c r="P8" s="572">
        <f>'BP1'!J15</f>
        <v>0</v>
      </c>
      <c r="Q8" s="570">
        <f>'BP2'!H15</f>
        <v>0</v>
      </c>
      <c r="R8" s="572">
        <f>'BP2'!I15</f>
        <v>0</v>
      </c>
      <c r="S8" s="572">
        <f>'BP2'!J15</f>
        <v>0</v>
      </c>
      <c r="T8" s="570">
        <f>'BP3'!H15</f>
        <v>0</v>
      </c>
      <c r="U8" s="572">
        <f>'BP3'!I15</f>
        <v>0</v>
      </c>
      <c r="V8" s="572">
        <f>'BP3'!J15</f>
        <v>0</v>
      </c>
      <c r="W8" s="570">
        <f>'BP4'!H15</f>
        <v>0</v>
      </c>
      <c r="X8" s="572">
        <f>'BP4'!I15</f>
        <v>0</v>
      </c>
      <c r="Y8" s="572">
        <f>'BP4'!J15</f>
        <v>0</v>
      </c>
      <c r="Z8" s="570">
        <f>'BP5'!H15</f>
        <v>0</v>
      </c>
      <c r="AA8" s="572">
        <f>'BP5'!I15</f>
        <v>0</v>
      </c>
      <c r="AB8" s="572">
        <f>'BP5'!J15</f>
        <v>0</v>
      </c>
      <c r="AC8" s="570">
        <f>N8+Q8+T8+W8+Z8</f>
        <v>0</v>
      </c>
      <c r="AD8" s="572">
        <f>O8+R8+U8+X8+AA8</f>
        <v>0</v>
      </c>
      <c r="AE8" s="572">
        <f>P8+S8+V8+Y8+AB8</f>
        <v>0</v>
      </c>
    </row>
    <row r="9" spans="1:31" ht="15.75" customHeight="1">
      <c r="A9" s="64" t="str">
        <f>CONCATENATE(K9," Salary")</f>
        <v>Senior Personnel 2 Salary</v>
      </c>
      <c r="B9" s="418">
        <f>'BP1'!$K$16</f>
        <v>0</v>
      </c>
      <c r="C9" s="418">
        <f ca="1">'BP2'!$K$16</f>
        <v>0</v>
      </c>
      <c r="D9" s="418">
        <f ca="1">'BP3'!$K$16</f>
        <v>0</v>
      </c>
      <c r="E9" s="418">
        <f ca="1">'BP4'!$K$16</f>
        <v>0</v>
      </c>
      <c r="F9" s="419">
        <f ca="1">'BP5'!$K$16</f>
        <v>0</v>
      </c>
      <c r="G9" s="418">
        <f t="shared" ca="1" si="0"/>
        <v>0</v>
      </c>
      <c r="I9" s="116" t="s">
        <v>219</v>
      </c>
      <c r="K9" s="592" t="str">
        <f>IF(ISBLANK('BP1'!$B$16),"Senior Personnel 2",""&amp;'BP1'!$B$16)</f>
        <v>Senior Personnel 2</v>
      </c>
      <c r="L9" s="593"/>
      <c r="M9" s="594"/>
      <c r="N9" s="569" t="s">
        <v>2</v>
      </c>
      <c r="O9" s="571" t="s">
        <v>198</v>
      </c>
      <c r="P9" s="571" t="s">
        <v>199</v>
      </c>
      <c r="Q9" s="569" t="s">
        <v>2</v>
      </c>
      <c r="R9" s="571" t="s">
        <v>198</v>
      </c>
      <c r="S9" s="571" t="s">
        <v>199</v>
      </c>
      <c r="T9" s="569" t="s">
        <v>2</v>
      </c>
      <c r="U9" s="571" t="s">
        <v>198</v>
      </c>
      <c r="V9" s="571" t="s">
        <v>199</v>
      </c>
      <c r="W9" s="569" t="s">
        <v>2</v>
      </c>
      <c r="X9" s="571" t="s">
        <v>198</v>
      </c>
      <c r="Y9" s="571" t="s">
        <v>199</v>
      </c>
      <c r="Z9" s="569" t="s">
        <v>2</v>
      </c>
      <c r="AA9" s="571" t="s">
        <v>198</v>
      </c>
      <c r="AB9" s="571" t="s">
        <v>199</v>
      </c>
      <c r="AC9" s="569" t="s">
        <v>2</v>
      </c>
      <c r="AD9" s="571" t="s">
        <v>198</v>
      </c>
      <c r="AE9" s="571" t="s">
        <v>199</v>
      </c>
    </row>
    <row r="10" spans="1:31">
      <c r="A10" s="64" t="str">
        <f>CONCATENATE(K9," Fringe")</f>
        <v>Senior Personnel 2 Fringe</v>
      </c>
      <c r="B10" s="418">
        <f>'BP1'!$L$16</f>
        <v>0</v>
      </c>
      <c r="C10" s="418">
        <f ca="1">'BP2'!$L$16</f>
        <v>0</v>
      </c>
      <c r="D10" s="418">
        <f ca="1">'BP3'!$L$16</f>
        <v>0</v>
      </c>
      <c r="E10" s="418">
        <f ca="1">'BP4'!$L$16</f>
        <v>0</v>
      </c>
      <c r="F10" s="419">
        <f ca="1">'BP5'!$L$16</f>
        <v>0</v>
      </c>
      <c r="G10" s="418">
        <f t="shared" ca="1" si="0"/>
        <v>0</v>
      </c>
      <c r="I10" s="116" t="s">
        <v>219</v>
      </c>
      <c r="K10" s="595"/>
      <c r="L10" s="596"/>
      <c r="M10" s="597"/>
      <c r="N10" s="570">
        <f>'BP1'!H16</f>
        <v>0</v>
      </c>
      <c r="O10" s="572">
        <f>'BP1'!I16</f>
        <v>0</v>
      </c>
      <c r="P10" s="572">
        <f>'BP1'!J16</f>
        <v>0</v>
      </c>
      <c r="Q10" s="570">
        <f>'BP2'!H16</f>
        <v>0</v>
      </c>
      <c r="R10" s="572">
        <f>'BP2'!I16</f>
        <v>0</v>
      </c>
      <c r="S10" s="572">
        <f>'BP2'!J16</f>
        <v>0</v>
      </c>
      <c r="T10" s="570">
        <f>'BP3'!H16</f>
        <v>0</v>
      </c>
      <c r="U10" s="572">
        <f>'BP3'!I16</f>
        <v>0</v>
      </c>
      <c r="V10" s="572">
        <f>'BP3'!J16</f>
        <v>0</v>
      </c>
      <c r="W10" s="570">
        <f>'BP4'!H16</f>
        <v>0</v>
      </c>
      <c r="X10" s="572">
        <f>'BP4'!I16</f>
        <v>0</v>
      </c>
      <c r="Y10" s="572">
        <f>'BP4'!J16</f>
        <v>0</v>
      </c>
      <c r="Z10" s="570">
        <f>'BP5'!H16</f>
        <v>0</v>
      </c>
      <c r="AA10" s="572">
        <f>'BP5'!I16</f>
        <v>0</v>
      </c>
      <c r="AB10" s="572">
        <f>'BP5'!J16</f>
        <v>0</v>
      </c>
      <c r="AC10" s="570">
        <f>N10+Q10+T10+W10+Z10</f>
        <v>0</v>
      </c>
      <c r="AD10" s="572">
        <f>O10+R10+U10+X10+AA10</f>
        <v>0</v>
      </c>
      <c r="AE10" s="572">
        <f>P10+S10+V10+Y10+AB10</f>
        <v>0</v>
      </c>
    </row>
    <row r="11" spans="1:31">
      <c r="A11" s="64" t="str">
        <f>CONCATENATE(K11," Salary")</f>
        <v>Senior Personnel 3 Salary</v>
      </c>
      <c r="B11" s="418">
        <f>'BP1'!$K$17</f>
        <v>0</v>
      </c>
      <c r="C11" s="418">
        <f ca="1">'BP2'!$K$17</f>
        <v>0</v>
      </c>
      <c r="D11" s="418">
        <f ca="1">'BP3'!$K$17</f>
        <v>0</v>
      </c>
      <c r="E11" s="418">
        <f ca="1">'BP4'!$K$17</f>
        <v>0</v>
      </c>
      <c r="F11" s="419">
        <f ca="1">'BP5'!$K$17</f>
        <v>0</v>
      </c>
      <c r="G11" s="418">
        <f t="shared" ca="1" si="0"/>
        <v>0</v>
      </c>
      <c r="I11" s="116" t="s">
        <v>219</v>
      </c>
      <c r="K11" s="592" t="str">
        <f>IF(ISBLANK('BP1'!$B$17),"Senior Personnel 3",""&amp;'BP1'!$B$17)</f>
        <v>Senior Personnel 3</v>
      </c>
      <c r="L11" s="593"/>
      <c r="M11" s="594"/>
      <c r="N11" s="569" t="s">
        <v>2</v>
      </c>
      <c r="O11" s="571" t="s">
        <v>198</v>
      </c>
      <c r="P11" s="571" t="s">
        <v>199</v>
      </c>
      <c r="Q11" s="569" t="s">
        <v>2</v>
      </c>
      <c r="R11" s="571" t="s">
        <v>198</v>
      </c>
      <c r="S11" s="571" t="s">
        <v>199</v>
      </c>
      <c r="T11" s="569" t="s">
        <v>2</v>
      </c>
      <c r="U11" s="571" t="s">
        <v>198</v>
      </c>
      <c r="V11" s="571" t="s">
        <v>199</v>
      </c>
      <c r="W11" s="569" t="s">
        <v>2</v>
      </c>
      <c r="X11" s="571" t="s">
        <v>198</v>
      </c>
      <c r="Y11" s="571" t="s">
        <v>199</v>
      </c>
      <c r="Z11" s="569" t="s">
        <v>2</v>
      </c>
      <c r="AA11" s="571" t="s">
        <v>198</v>
      </c>
      <c r="AB11" s="571" t="s">
        <v>199</v>
      </c>
      <c r="AC11" s="569" t="s">
        <v>2</v>
      </c>
      <c r="AD11" s="571" t="s">
        <v>198</v>
      </c>
      <c r="AE11" s="571" t="s">
        <v>199</v>
      </c>
    </row>
    <row r="12" spans="1:31">
      <c r="A12" s="64" t="str">
        <f>CONCATENATE(K11," Fringe")</f>
        <v>Senior Personnel 3 Fringe</v>
      </c>
      <c r="B12" s="418">
        <f>'BP1'!$L$17</f>
        <v>0</v>
      </c>
      <c r="C12" s="418">
        <f ca="1">'BP2'!$L$17</f>
        <v>0</v>
      </c>
      <c r="D12" s="418">
        <f ca="1">'BP3'!$L$17</f>
        <v>0</v>
      </c>
      <c r="E12" s="418">
        <f ca="1">'BP4'!$L$17</f>
        <v>0</v>
      </c>
      <c r="F12" s="419">
        <f ca="1">'BP5'!$L$17</f>
        <v>0</v>
      </c>
      <c r="G12" s="418">
        <f t="shared" ca="1" si="0"/>
        <v>0</v>
      </c>
      <c r="I12" s="116" t="s">
        <v>219</v>
      </c>
      <c r="K12" s="595"/>
      <c r="L12" s="596"/>
      <c r="M12" s="597"/>
      <c r="N12" s="570">
        <f>'BP1'!H17</f>
        <v>0</v>
      </c>
      <c r="O12" s="572">
        <f>'BP1'!I17</f>
        <v>0</v>
      </c>
      <c r="P12" s="572">
        <f>'BP1'!J17</f>
        <v>0</v>
      </c>
      <c r="Q12" s="570">
        <f>'BP2'!H17</f>
        <v>0</v>
      </c>
      <c r="R12" s="572">
        <f>'BP2'!I17</f>
        <v>0</v>
      </c>
      <c r="S12" s="572">
        <f>'BP2'!J17</f>
        <v>0</v>
      </c>
      <c r="T12" s="570">
        <f>'BP3'!H17</f>
        <v>0</v>
      </c>
      <c r="U12" s="572">
        <f>'BP3'!I17</f>
        <v>0</v>
      </c>
      <c r="V12" s="572">
        <f>'BP3'!J17</f>
        <v>0</v>
      </c>
      <c r="W12" s="570">
        <f>'BP4'!H17</f>
        <v>0</v>
      </c>
      <c r="X12" s="572">
        <f>'BP4'!I17</f>
        <v>0</v>
      </c>
      <c r="Y12" s="572">
        <f>'BP4'!J17</f>
        <v>0</v>
      </c>
      <c r="Z12" s="570">
        <f>'BP5'!H17</f>
        <v>0</v>
      </c>
      <c r="AA12" s="572">
        <f>'BP5'!I17</f>
        <v>0</v>
      </c>
      <c r="AB12" s="572">
        <f>'BP5'!J17</f>
        <v>0</v>
      </c>
      <c r="AC12" s="570">
        <f>N12+Q12+T12+W12+Z12</f>
        <v>0</v>
      </c>
      <c r="AD12" s="572">
        <f>O12+R12+U12+X12+AA12</f>
        <v>0</v>
      </c>
      <c r="AE12" s="572">
        <f>P12+S12+V12+Y12+AB12</f>
        <v>0</v>
      </c>
    </row>
    <row r="13" spans="1:31">
      <c r="A13" s="64" t="str">
        <f>CONCATENATE(K13," Salary")</f>
        <v>Senior Personnel 4 Salary</v>
      </c>
      <c r="B13" s="418">
        <f>'BP1'!$K$18</f>
        <v>0</v>
      </c>
      <c r="C13" s="418">
        <f ca="1">'BP2'!$K$18</f>
        <v>0</v>
      </c>
      <c r="D13" s="418">
        <f ca="1">'BP3'!$K$18</f>
        <v>0</v>
      </c>
      <c r="E13" s="418">
        <f ca="1">'BP4'!$K$18</f>
        <v>0</v>
      </c>
      <c r="F13" s="419">
        <f ca="1">'BP5'!$K$18</f>
        <v>0</v>
      </c>
      <c r="G13" s="418">
        <f t="shared" ca="1" si="0"/>
        <v>0</v>
      </c>
      <c r="I13" s="116" t="s">
        <v>219</v>
      </c>
      <c r="K13" s="592" t="str">
        <f>IF(ISBLANK('BP1'!$B$18),"Senior Personnel 4",""&amp;'BP1'!$B$18)</f>
        <v>Senior Personnel 4</v>
      </c>
      <c r="L13" s="593"/>
      <c r="M13" s="594"/>
      <c r="N13" s="569" t="s">
        <v>2</v>
      </c>
      <c r="O13" s="571" t="s">
        <v>198</v>
      </c>
      <c r="P13" s="571" t="s">
        <v>199</v>
      </c>
      <c r="Q13" s="569" t="s">
        <v>2</v>
      </c>
      <c r="R13" s="571" t="s">
        <v>198</v>
      </c>
      <c r="S13" s="571" t="s">
        <v>199</v>
      </c>
      <c r="T13" s="569" t="s">
        <v>2</v>
      </c>
      <c r="U13" s="571" t="s">
        <v>198</v>
      </c>
      <c r="V13" s="571" t="s">
        <v>199</v>
      </c>
      <c r="W13" s="569" t="s">
        <v>2</v>
      </c>
      <c r="X13" s="571" t="s">
        <v>198</v>
      </c>
      <c r="Y13" s="571" t="s">
        <v>199</v>
      </c>
      <c r="Z13" s="569" t="s">
        <v>2</v>
      </c>
      <c r="AA13" s="571" t="s">
        <v>198</v>
      </c>
      <c r="AB13" s="571" t="s">
        <v>199</v>
      </c>
      <c r="AC13" s="569" t="s">
        <v>2</v>
      </c>
      <c r="AD13" s="571" t="s">
        <v>198</v>
      </c>
      <c r="AE13" s="571" t="s">
        <v>199</v>
      </c>
    </row>
    <row r="14" spans="1:31">
      <c r="A14" s="64" t="str">
        <f>CONCATENATE(K13," Fringe")</f>
        <v>Senior Personnel 4 Fringe</v>
      </c>
      <c r="B14" s="418">
        <f>'BP1'!$L$18</f>
        <v>0</v>
      </c>
      <c r="C14" s="418">
        <f ca="1">'BP2'!$L$18</f>
        <v>0</v>
      </c>
      <c r="D14" s="418">
        <f ca="1">'BP3'!$L$18</f>
        <v>0</v>
      </c>
      <c r="E14" s="418">
        <f ca="1">'BP4'!$L$18</f>
        <v>0</v>
      </c>
      <c r="F14" s="419">
        <f ca="1">'BP5'!$L$18</f>
        <v>0</v>
      </c>
      <c r="G14" s="418">
        <f t="shared" ca="1" si="0"/>
        <v>0</v>
      </c>
      <c r="I14" s="116" t="s">
        <v>219</v>
      </c>
      <c r="K14" s="595"/>
      <c r="L14" s="596"/>
      <c r="M14" s="597"/>
      <c r="N14" s="570">
        <f>'BP1'!H18</f>
        <v>0</v>
      </c>
      <c r="O14" s="572">
        <f>'BP1'!I18</f>
        <v>0</v>
      </c>
      <c r="P14" s="572">
        <f>'BP1'!J18</f>
        <v>0</v>
      </c>
      <c r="Q14" s="570">
        <f>'BP2'!H18</f>
        <v>0</v>
      </c>
      <c r="R14" s="572">
        <f>'BP2'!I18</f>
        <v>0</v>
      </c>
      <c r="S14" s="572">
        <f>'BP2'!J18</f>
        <v>0</v>
      </c>
      <c r="T14" s="570">
        <f>'BP3'!H18</f>
        <v>0</v>
      </c>
      <c r="U14" s="572">
        <f>'BP3'!I18</f>
        <v>0</v>
      </c>
      <c r="V14" s="572">
        <f>'BP3'!J18</f>
        <v>0</v>
      </c>
      <c r="W14" s="570">
        <f>'BP4'!H18</f>
        <v>0</v>
      </c>
      <c r="X14" s="572">
        <f>'BP4'!I18</f>
        <v>0</v>
      </c>
      <c r="Y14" s="572">
        <f>'BP4'!J18</f>
        <v>0</v>
      </c>
      <c r="Z14" s="570">
        <f>'BP5'!H18</f>
        <v>0</v>
      </c>
      <c r="AA14" s="572">
        <f>'BP5'!I18</f>
        <v>0</v>
      </c>
      <c r="AB14" s="572">
        <f>'BP5'!J18</f>
        <v>0</v>
      </c>
      <c r="AC14" s="570">
        <f>N14+Q14+T14+W14+Z14</f>
        <v>0</v>
      </c>
      <c r="AD14" s="572">
        <f>O14+R14+U14+X14+AA14</f>
        <v>0</v>
      </c>
      <c r="AE14" s="572">
        <f>P14+S14+V14+Y14+AB14</f>
        <v>0</v>
      </c>
    </row>
    <row r="15" spans="1:31">
      <c r="A15" s="64" t="str">
        <f>CONCATENATE(K15," Salary")</f>
        <v>Senior Personnel 5 Salary</v>
      </c>
      <c r="B15" s="418">
        <f>'BP1'!$K$19</f>
        <v>0</v>
      </c>
      <c r="C15" s="418">
        <f ca="1">'BP2'!$K$19</f>
        <v>0</v>
      </c>
      <c r="D15" s="418">
        <f ca="1">'BP3'!$K$19</f>
        <v>0</v>
      </c>
      <c r="E15" s="418">
        <f ca="1">'BP4'!$K$19</f>
        <v>0</v>
      </c>
      <c r="F15" s="419">
        <f ca="1">'BP5'!$K$19</f>
        <v>0</v>
      </c>
      <c r="G15" s="418">
        <f t="shared" ca="1" si="0"/>
        <v>0</v>
      </c>
      <c r="I15" s="116" t="s">
        <v>219</v>
      </c>
      <c r="K15" s="592" t="str">
        <f>IF(ISBLANK('BP1'!$B$19),"Senior Personnel 5",""&amp;'BP1'!$B$19)</f>
        <v>Senior Personnel 5</v>
      </c>
      <c r="L15" s="593"/>
      <c r="M15" s="594"/>
      <c r="N15" s="569" t="s">
        <v>2</v>
      </c>
      <c r="O15" s="571" t="s">
        <v>198</v>
      </c>
      <c r="P15" s="571" t="s">
        <v>199</v>
      </c>
      <c r="Q15" s="569" t="s">
        <v>2</v>
      </c>
      <c r="R15" s="571" t="s">
        <v>198</v>
      </c>
      <c r="S15" s="571" t="s">
        <v>199</v>
      </c>
      <c r="T15" s="569" t="s">
        <v>2</v>
      </c>
      <c r="U15" s="571" t="s">
        <v>198</v>
      </c>
      <c r="V15" s="571" t="s">
        <v>199</v>
      </c>
      <c r="W15" s="569" t="s">
        <v>2</v>
      </c>
      <c r="X15" s="571" t="s">
        <v>198</v>
      </c>
      <c r="Y15" s="571" t="s">
        <v>199</v>
      </c>
      <c r="Z15" s="569" t="s">
        <v>2</v>
      </c>
      <c r="AA15" s="571" t="s">
        <v>198</v>
      </c>
      <c r="AB15" s="571" t="s">
        <v>199</v>
      </c>
      <c r="AC15" s="569" t="s">
        <v>2</v>
      </c>
      <c r="AD15" s="571" t="s">
        <v>198</v>
      </c>
      <c r="AE15" s="571" t="s">
        <v>199</v>
      </c>
    </row>
    <row r="16" spans="1:31">
      <c r="A16" s="64" t="str">
        <f>CONCATENATE(K15," Fringe")</f>
        <v>Senior Personnel 5 Fringe</v>
      </c>
      <c r="B16" s="418">
        <f>'BP1'!$L$19</f>
        <v>0</v>
      </c>
      <c r="C16" s="418">
        <f ca="1">'BP2'!$L$19</f>
        <v>0</v>
      </c>
      <c r="D16" s="418">
        <f ca="1">'BP3'!$L$19</f>
        <v>0</v>
      </c>
      <c r="E16" s="418">
        <f ca="1">'BP4'!$L$19</f>
        <v>0</v>
      </c>
      <c r="F16" s="419">
        <f ca="1">'BP5'!$L$19</f>
        <v>0</v>
      </c>
      <c r="G16" s="418">
        <f t="shared" ca="1" si="0"/>
        <v>0</v>
      </c>
      <c r="I16" s="116" t="s">
        <v>219</v>
      </c>
      <c r="K16" s="595"/>
      <c r="L16" s="596"/>
      <c r="M16" s="597"/>
      <c r="N16" s="570">
        <f>'BP1'!H19</f>
        <v>0</v>
      </c>
      <c r="O16" s="572">
        <f>'BP1'!I19</f>
        <v>0</v>
      </c>
      <c r="P16" s="572">
        <f>'BP1'!J19</f>
        <v>0</v>
      </c>
      <c r="Q16" s="570">
        <f>'BP2'!H19</f>
        <v>0</v>
      </c>
      <c r="R16" s="572">
        <f>'BP2'!I19</f>
        <v>0</v>
      </c>
      <c r="S16" s="572">
        <f>'BP2'!J19</f>
        <v>0</v>
      </c>
      <c r="T16" s="570">
        <f>'BP3'!H19</f>
        <v>0</v>
      </c>
      <c r="U16" s="572">
        <f>'BP3'!I19</f>
        <v>0</v>
      </c>
      <c r="V16" s="572">
        <f>'BP3'!J19</f>
        <v>0</v>
      </c>
      <c r="W16" s="570">
        <f>'BP4'!H19</f>
        <v>0</v>
      </c>
      <c r="X16" s="572">
        <f>'BP4'!I19</f>
        <v>0</v>
      </c>
      <c r="Y16" s="572">
        <f>'BP4'!J19</f>
        <v>0</v>
      </c>
      <c r="Z16" s="570">
        <f>'BP5'!H19</f>
        <v>0</v>
      </c>
      <c r="AA16" s="572">
        <f>'BP5'!I19</f>
        <v>0</v>
      </c>
      <c r="AB16" s="572">
        <f>'BP5'!J19</f>
        <v>0</v>
      </c>
      <c r="AC16" s="570">
        <f>N16+Q16+T16+W16+Z16</f>
        <v>0</v>
      </c>
      <c r="AD16" s="572">
        <f>O16+R16+U16+X16+AA16</f>
        <v>0</v>
      </c>
      <c r="AE16" s="572">
        <f>P16+S16+V16+Y16+AB16</f>
        <v>0</v>
      </c>
    </row>
    <row r="17" spans="1:31" hidden="1">
      <c r="A17" s="64" t="str">
        <f>CONCATENATE(K17," Salary")</f>
        <v>Senior Personnel 6 Salary</v>
      </c>
      <c r="B17" s="418">
        <f>'BP1'!$K$20</f>
        <v>0</v>
      </c>
      <c r="C17" s="418">
        <f ca="1">'BP2'!$K$20</f>
        <v>0</v>
      </c>
      <c r="D17" s="418">
        <f ca="1">'BP3'!$K$20</f>
        <v>0</v>
      </c>
      <c r="E17" s="418">
        <f ca="1">'BP4'!$K$20</f>
        <v>0</v>
      </c>
      <c r="F17" s="419">
        <f ca="1">'BP5'!$K$20</f>
        <v>0</v>
      </c>
      <c r="G17" s="418">
        <f t="shared" ca="1" si="0"/>
        <v>0</v>
      </c>
      <c r="I17" s="116" t="s">
        <v>485</v>
      </c>
      <c r="K17" s="592" t="str">
        <f>IF(ISBLANK('BP1'!$B$20),"Senior Personnel 6",""&amp;'BP1'!$B$20)</f>
        <v>Senior Personnel 6</v>
      </c>
      <c r="L17" s="593"/>
      <c r="M17" s="594"/>
      <c r="N17" s="569" t="s">
        <v>2</v>
      </c>
      <c r="O17" s="571" t="s">
        <v>198</v>
      </c>
      <c r="P17" s="571" t="s">
        <v>199</v>
      </c>
      <c r="Q17" s="569" t="s">
        <v>2</v>
      </c>
      <c r="R17" s="571" t="s">
        <v>198</v>
      </c>
      <c r="S17" s="571" t="s">
        <v>199</v>
      </c>
      <c r="T17" s="569" t="s">
        <v>2</v>
      </c>
      <c r="U17" s="571" t="s">
        <v>198</v>
      </c>
      <c r="V17" s="571" t="s">
        <v>199</v>
      </c>
      <c r="W17" s="569" t="s">
        <v>2</v>
      </c>
      <c r="X17" s="571" t="s">
        <v>198</v>
      </c>
      <c r="Y17" s="571" t="s">
        <v>199</v>
      </c>
      <c r="Z17" s="569" t="s">
        <v>2</v>
      </c>
      <c r="AA17" s="571" t="s">
        <v>198</v>
      </c>
      <c r="AB17" s="571" t="s">
        <v>199</v>
      </c>
      <c r="AC17" s="569" t="s">
        <v>2</v>
      </c>
      <c r="AD17" s="571" t="s">
        <v>198</v>
      </c>
      <c r="AE17" s="571" t="s">
        <v>199</v>
      </c>
    </row>
    <row r="18" spans="1:31" hidden="1">
      <c r="A18" s="64" t="str">
        <f>CONCATENATE(K17," Fringe")</f>
        <v>Senior Personnel 6 Fringe</v>
      </c>
      <c r="B18" s="424">
        <f>'BP1'!$L$20</f>
        <v>0</v>
      </c>
      <c r="C18" s="424">
        <f ca="1">'BP2'!$L$20</f>
        <v>0</v>
      </c>
      <c r="D18" s="424">
        <f ca="1">'BP3'!$L$20</f>
        <v>0</v>
      </c>
      <c r="E18" s="424">
        <f ca="1">'BP4'!$L$20</f>
        <v>0</v>
      </c>
      <c r="F18" s="425">
        <f ca="1">'BP5'!$L$20</f>
        <v>0</v>
      </c>
      <c r="G18" s="418">
        <f t="shared" ca="1" si="0"/>
        <v>0</v>
      </c>
      <c r="I18" s="116" t="s">
        <v>485</v>
      </c>
      <c r="K18" s="595"/>
      <c r="L18" s="596"/>
      <c r="M18" s="597"/>
      <c r="N18" s="570">
        <f>'BP1'!H20</f>
        <v>0</v>
      </c>
      <c r="O18" s="572">
        <f>'BP1'!I20</f>
        <v>0</v>
      </c>
      <c r="P18" s="572">
        <f>'BP1'!J20</f>
        <v>0</v>
      </c>
      <c r="Q18" s="570">
        <f>'BP2'!H20</f>
        <v>0</v>
      </c>
      <c r="R18" s="572">
        <f>'BP2'!I20</f>
        <v>0</v>
      </c>
      <c r="S18" s="572">
        <f>'BP2'!J20</f>
        <v>0</v>
      </c>
      <c r="T18" s="570">
        <f>'BP3'!H20</f>
        <v>0</v>
      </c>
      <c r="U18" s="572">
        <f>'BP3'!I20</f>
        <v>0</v>
      </c>
      <c r="V18" s="572">
        <f>'BP3'!J20</f>
        <v>0</v>
      </c>
      <c r="W18" s="570">
        <f>'BP4'!H20</f>
        <v>0</v>
      </c>
      <c r="X18" s="572">
        <f>'BP4'!I20</f>
        <v>0</v>
      </c>
      <c r="Y18" s="572">
        <f>'BP4'!J20</f>
        <v>0</v>
      </c>
      <c r="Z18" s="570">
        <f>'BP5'!H20</f>
        <v>0</v>
      </c>
      <c r="AA18" s="572">
        <f>'BP5'!I20</f>
        <v>0</v>
      </c>
      <c r="AB18" s="572">
        <f>'BP5'!J20</f>
        <v>0</v>
      </c>
      <c r="AC18" s="570">
        <f>N18+Q18+T18+W18+Z18</f>
        <v>0</v>
      </c>
      <c r="AD18" s="572">
        <f>O18+R18+U18+X18+AA18</f>
        <v>0</v>
      </c>
      <c r="AE18" s="572">
        <f>P18+S18+V18+Y18+AB18</f>
        <v>0</v>
      </c>
    </row>
    <row r="19" spans="1:31" hidden="1">
      <c r="A19" s="64" t="str">
        <f>CONCATENATE(K19," Salary")</f>
        <v>Senior Personnel 7 Salary</v>
      </c>
      <c r="B19" s="418">
        <f>'BP1'!$K$21</f>
        <v>0</v>
      </c>
      <c r="C19" s="418">
        <f ca="1">'BP2'!$K$21</f>
        <v>0</v>
      </c>
      <c r="D19" s="418">
        <f ca="1">'BP3'!$K$21</f>
        <v>0</v>
      </c>
      <c r="E19" s="418">
        <f ca="1">'BP4'!$K$21</f>
        <v>0</v>
      </c>
      <c r="F19" s="419">
        <f ca="1">'BP5'!$K$21</f>
        <v>0</v>
      </c>
      <c r="G19" s="418">
        <f t="shared" ca="1" si="0"/>
        <v>0</v>
      </c>
      <c r="I19" s="116" t="s">
        <v>485</v>
      </c>
      <c r="K19" s="592" t="str">
        <f>IF(ISBLANK('BP1'!$B$21),"Senior Personnel 7",""&amp;'BP1'!$B$21)</f>
        <v>Senior Personnel 7</v>
      </c>
      <c r="L19" s="593"/>
      <c r="M19" s="594"/>
      <c r="N19" s="569" t="s">
        <v>2</v>
      </c>
      <c r="O19" s="571" t="s">
        <v>198</v>
      </c>
      <c r="P19" s="571" t="s">
        <v>199</v>
      </c>
      <c r="Q19" s="569" t="s">
        <v>2</v>
      </c>
      <c r="R19" s="571" t="s">
        <v>198</v>
      </c>
      <c r="S19" s="571" t="s">
        <v>199</v>
      </c>
      <c r="T19" s="569" t="s">
        <v>2</v>
      </c>
      <c r="U19" s="571" t="s">
        <v>198</v>
      </c>
      <c r="V19" s="571" t="s">
        <v>199</v>
      </c>
      <c r="W19" s="569" t="s">
        <v>2</v>
      </c>
      <c r="X19" s="571" t="s">
        <v>198</v>
      </c>
      <c r="Y19" s="571" t="s">
        <v>199</v>
      </c>
      <c r="Z19" s="569" t="s">
        <v>2</v>
      </c>
      <c r="AA19" s="571" t="s">
        <v>198</v>
      </c>
      <c r="AB19" s="571" t="s">
        <v>199</v>
      </c>
      <c r="AC19" s="569" t="s">
        <v>2</v>
      </c>
      <c r="AD19" s="571" t="s">
        <v>198</v>
      </c>
      <c r="AE19" s="571" t="s">
        <v>199</v>
      </c>
    </row>
    <row r="20" spans="1:31" hidden="1">
      <c r="A20" s="64" t="str">
        <f>CONCATENATE(K19," Fringe")</f>
        <v>Senior Personnel 7 Fringe</v>
      </c>
      <c r="B20" s="418">
        <f>'BP1'!$L$21</f>
        <v>0</v>
      </c>
      <c r="C20" s="418">
        <f ca="1">'BP2'!$L$21</f>
        <v>0</v>
      </c>
      <c r="D20" s="418">
        <f ca="1">'BP3'!$L$21</f>
        <v>0</v>
      </c>
      <c r="E20" s="418">
        <f ca="1">'BP4'!$L$21</f>
        <v>0</v>
      </c>
      <c r="F20" s="419">
        <f ca="1">'BP5'!$L$21</f>
        <v>0</v>
      </c>
      <c r="G20" s="418">
        <f t="shared" ca="1" si="0"/>
        <v>0</v>
      </c>
      <c r="I20" s="116" t="s">
        <v>485</v>
      </c>
      <c r="K20" s="595"/>
      <c r="L20" s="596"/>
      <c r="M20" s="597"/>
      <c r="N20" s="570">
        <f>'BP1'!H21</f>
        <v>0</v>
      </c>
      <c r="O20" s="572">
        <f>'BP1'!I21</f>
        <v>0</v>
      </c>
      <c r="P20" s="572">
        <f>'BP1'!J21</f>
        <v>0</v>
      </c>
      <c r="Q20" s="570">
        <f>'BP2'!H21</f>
        <v>0</v>
      </c>
      <c r="R20" s="572">
        <f>'BP2'!I21</f>
        <v>0</v>
      </c>
      <c r="S20" s="572">
        <f>'BP2'!J21</f>
        <v>0</v>
      </c>
      <c r="T20" s="570">
        <f>'BP3'!H21</f>
        <v>0</v>
      </c>
      <c r="U20" s="572">
        <f>'BP3'!I21</f>
        <v>0</v>
      </c>
      <c r="V20" s="572">
        <f>'BP3'!J21</f>
        <v>0</v>
      </c>
      <c r="W20" s="570">
        <f>'BP4'!H21</f>
        <v>0</v>
      </c>
      <c r="X20" s="572">
        <f>'BP4'!I21</f>
        <v>0</v>
      </c>
      <c r="Y20" s="572">
        <f>'BP4'!J21</f>
        <v>0</v>
      </c>
      <c r="Z20" s="570">
        <f>'BP5'!H21</f>
        <v>0</v>
      </c>
      <c r="AA20" s="572">
        <f>'BP5'!I21</f>
        <v>0</v>
      </c>
      <c r="AB20" s="572">
        <f>'BP5'!J21</f>
        <v>0</v>
      </c>
      <c r="AC20" s="570">
        <f>N20+Q20+T20+W20+Z20</f>
        <v>0</v>
      </c>
      <c r="AD20" s="572">
        <f>O20+R20+U20+X20+AA20</f>
        <v>0</v>
      </c>
      <c r="AE20" s="572">
        <f>P20+S20+V20+Y20+AB20</f>
        <v>0</v>
      </c>
    </row>
    <row r="21" spans="1:31" hidden="1">
      <c r="A21" s="64" t="str">
        <f>CONCATENATE(K21," Salary")</f>
        <v>Senior Personnel 8 Salary</v>
      </c>
      <c r="B21" s="418">
        <f>'BP1'!$K$22</f>
        <v>0</v>
      </c>
      <c r="C21" s="418">
        <f ca="1">'BP2'!$K$22</f>
        <v>0</v>
      </c>
      <c r="D21" s="418">
        <f ca="1">'BP3'!$K$22</f>
        <v>0</v>
      </c>
      <c r="E21" s="418">
        <f ca="1">'BP4'!$K$22</f>
        <v>0</v>
      </c>
      <c r="F21" s="419">
        <f ca="1">'BP5'!$K$22</f>
        <v>0</v>
      </c>
      <c r="G21" s="418">
        <f t="shared" ca="1" si="0"/>
        <v>0</v>
      </c>
      <c r="I21" s="116" t="s">
        <v>485</v>
      </c>
      <c r="K21" s="592" t="str">
        <f>IF(ISBLANK('BP1'!$B$22),"Senior Personnel 8",""&amp;'BP1'!$B$22)</f>
        <v>Senior Personnel 8</v>
      </c>
      <c r="L21" s="593"/>
      <c r="M21" s="594"/>
      <c r="N21" s="569" t="s">
        <v>2</v>
      </c>
      <c r="O21" s="571" t="s">
        <v>198</v>
      </c>
      <c r="P21" s="571" t="s">
        <v>199</v>
      </c>
      <c r="Q21" s="569" t="s">
        <v>2</v>
      </c>
      <c r="R21" s="571" t="s">
        <v>198</v>
      </c>
      <c r="S21" s="571" t="s">
        <v>199</v>
      </c>
      <c r="T21" s="569" t="s">
        <v>2</v>
      </c>
      <c r="U21" s="571" t="s">
        <v>198</v>
      </c>
      <c r="V21" s="571" t="s">
        <v>199</v>
      </c>
      <c r="W21" s="569" t="s">
        <v>2</v>
      </c>
      <c r="X21" s="571" t="s">
        <v>198</v>
      </c>
      <c r="Y21" s="571" t="s">
        <v>199</v>
      </c>
      <c r="Z21" s="569" t="s">
        <v>2</v>
      </c>
      <c r="AA21" s="571" t="s">
        <v>198</v>
      </c>
      <c r="AB21" s="571" t="s">
        <v>199</v>
      </c>
      <c r="AC21" s="569" t="s">
        <v>2</v>
      </c>
      <c r="AD21" s="571" t="s">
        <v>198</v>
      </c>
      <c r="AE21" s="571" t="s">
        <v>199</v>
      </c>
    </row>
    <row r="22" spans="1:31" hidden="1">
      <c r="A22" s="64" t="str">
        <f>CONCATENATE(K21," Fringe")</f>
        <v>Senior Personnel 8 Fringe</v>
      </c>
      <c r="B22" s="418">
        <f>'BP1'!$L$22</f>
        <v>0</v>
      </c>
      <c r="C22" s="418">
        <f ca="1">'BP2'!$L$22</f>
        <v>0</v>
      </c>
      <c r="D22" s="418">
        <f ca="1">'BP3'!$L$22</f>
        <v>0</v>
      </c>
      <c r="E22" s="418">
        <f ca="1">'BP4'!$L$22</f>
        <v>0</v>
      </c>
      <c r="F22" s="419">
        <f ca="1">'BP5'!$L$22</f>
        <v>0</v>
      </c>
      <c r="G22" s="418">
        <f t="shared" ca="1" si="0"/>
        <v>0</v>
      </c>
      <c r="I22" s="116" t="s">
        <v>485</v>
      </c>
      <c r="K22" s="595"/>
      <c r="L22" s="596"/>
      <c r="M22" s="597"/>
      <c r="N22" s="570">
        <f>'BP1'!H22</f>
        <v>0</v>
      </c>
      <c r="O22" s="572">
        <f>'BP1'!I22</f>
        <v>0</v>
      </c>
      <c r="P22" s="572">
        <f>'BP1'!J22</f>
        <v>0</v>
      </c>
      <c r="Q22" s="570">
        <f>'BP2'!H22</f>
        <v>0</v>
      </c>
      <c r="R22" s="572">
        <f>'BP2'!I22</f>
        <v>0</v>
      </c>
      <c r="S22" s="572">
        <f>'BP2'!J22</f>
        <v>0</v>
      </c>
      <c r="T22" s="570">
        <f>'BP3'!H22</f>
        <v>0</v>
      </c>
      <c r="U22" s="572">
        <f>'BP3'!I22</f>
        <v>0</v>
      </c>
      <c r="V22" s="572">
        <f>'BP3'!J22</f>
        <v>0</v>
      </c>
      <c r="W22" s="570">
        <f>'BP4'!H22</f>
        <v>0</v>
      </c>
      <c r="X22" s="572">
        <f>'BP4'!I22</f>
        <v>0</v>
      </c>
      <c r="Y22" s="572">
        <f>'BP4'!J22</f>
        <v>0</v>
      </c>
      <c r="Z22" s="570">
        <f>'BP5'!H22</f>
        <v>0</v>
      </c>
      <c r="AA22" s="572">
        <f>'BP5'!I22</f>
        <v>0</v>
      </c>
      <c r="AB22" s="572">
        <f>'BP5'!J22</f>
        <v>0</v>
      </c>
      <c r="AC22" s="570">
        <f>N22+Q22+T22+W22+Z22</f>
        <v>0</v>
      </c>
      <c r="AD22" s="572">
        <f>O22+R22+U22+X22+AA22</f>
        <v>0</v>
      </c>
      <c r="AE22" s="572">
        <f>P22+S22+V22+Y22+AB22</f>
        <v>0</v>
      </c>
    </row>
    <row r="23" spans="1:31" hidden="1">
      <c r="A23" s="64" t="str">
        <f>CONCATENATE(K23," Salary")</f>
        <v>Senior Personnel 9 Salary</v>
      </c>
      <c r="B23" s="418">
        <f>'BP1'!$K$23</f>
        <v>0</v>
      </c>
      <c r="C23" s="418">
        <f ca="1">'BP2'!$K$23</f>
        <v>0</v>
      </c>
      <c r="D23" s="418">
        <f ca="1">'BP3'!$K$23</f>
        <v>0</v>
      </c>
      <c r="E23" s="418">
        <f ca="1">'BP4'!$K$23</f>
        <v>0</v>
      </c>
      <c r="F23" s="419">
        <f ca="1">'BP5'!$K$23</f>
        <v>0</v>
      </c>
      <c r="G23" s="418">
        <f t="shared" ca="1" si="0"/>
        <v>0</v>
      </c>
      <c r="I23" s="116" t="s">
        <v>485</v>
      </c>
      <c r="K23" s="592" t="str">
        <f>IF(ISBLANK('BP1'!$B$23),"Senior Personnel 9",""&amp;'BP1'!$B$23)</f>
        <v>Senior Personnel 9</v>
      </c>
      <c r="L23" s="593"/>
      <c r="M23" s="594"/>
      <c r="N23" s="569" t="s">
        <v>2</v>
      </c>
      <c r="O23" s="571" t="s">
        <v>198</v>
      </c>
      <c r="P23" s="571" t="s">
        <v>199</v>
      </c>
      <c r="Q23" s="569" t="s">
        <v>2</v>
      </c>
      <c r="R23" s="571" t="s">
        <v>198</v>
      </c>
      <c r="S23" s="571" t="s">
        <v>199</v>
      </c>
      <c r="T23" s="569" t="s">
        <v>2</v>
      </c>
      <c r="U23" s="571" t="s">
        <v>198</v>
      </c>
      <c r="V23" s="571" t="s">
        <v>199</v>
      </c>
      <c r="W23" s="569" t="s">
        <v>2</v>
      </c>
      <c r="X23" s="571" t="s">
        <v>198</v>
      </c>
      <c r="Y23" s="571" t="s">
        <v>199</v>
      </c>
      <c r="Z23" s="569" t="s">
        <v>2</v>
      </c>
      <c r="AA23" s="571" t="s">
        <v>198</v>
      </c>
      <c r="AB23" s="571" t="s">
        <v>199</v>
      </c>
      <c r="AC23" s="569" t="s">
        <v>2</v>
      </c>
      <c r="AD23" s="571" t="s">
        <v>198</v>
      </c>
      <c r="AE23" s="571" t="s">
        <v>199</v>
      </c>
    </row>
    <row r="24" spans="1:31" hidden="1">
      <c r="A24" s="64" t="str">
        <f>CONCATENATE(K23," Fringe")</f>
        <v>Senior Personnel 9 Fringe</v>
      </c>
      <c r="B24" s="418">
        <f>'BP1'!$L$23</f>
        <v>0</v>
      </c>
      <c r="C24" s="418">
        <f ca="1">'BP2'!$L$23</f>
        <v>0</v>
      </c>
      <c r="D24" s="418">
        <f ca="1">'BP3'!$L$23</f>
        <v>0</v>
      </c>
      <c r="E24" s="418">
        <f ca="1">'BP4'!$L$23</f>
        <v>0</v>
      </c>
      <c r="F24" s="419">
        <f ca="1">'BP5'!$L$23</f>
        <v>0</v>
      </c>
      <c r="G24" s="418">
        <f t="shared" ca="1" si="0"/>
        <v>0</v>
      </c>
      <c r="I24" s="116" t="s">
        <v>485</v>
      </c>
      <c r="K24" s="595"/>
      <c r="L24" s="596"/>
      <c r="M24" s="597"/>
      <c r="N24" s="570">
        <f>'BP1'!H23</f>
        <v>0</v>
      </c>
      <c r="O24" s="572">
        <f>'BP1'!I23</f>
        <v>0</v>
      </c>
      <c r="P24" s="572">
        <f>'BP1'!J23</f>
        <v>0</v>
      </c>
      <c r="Q24" s="570">
        <f>'BP2'!H23</f>
        <v>0</v>
      </c>
      <c r="R24" s="572">
        <f>'BP2'!I23</f>
        <v>0</v>
      </c>
      <c r="S24" s="572">
        <f>'BP2'!J23</f>
        <v>0</v>
      </c>
      <c r="T24" s="570">
        <f>'BP3'!H23</f>
        <v>0</v>
      </c>
      <c r="U24" s="572">
        <f>'BP3'!I23</f>
        <v>0</v>
      </c>
      <c r="V24" s="572">
        <f>'BP3'!J23</f>
        <v>0</v>
      </c>
      <c r="W24" s="570">
        <f>'BP4'!H23</f>
        <v>0</v>
      </c>
      <c r="X24" s="572">
        <f>'BP4'!I23</f>
        <v>0</v>
      </c>
      <c r="Y24" s="572">
        <f>'BP4'!J23</f>
        <v>0</v>
      </c>
      <c r="Z24" s="570">
        <f>'BP5'!H23</f>
        <v>0</v>
      </c>
      <c r="AA24" s="572">
        <f>'BP5'!I23</f>
        <v>0</v>
      </c>
      <c r="AB24" s="572">
        <f>'BP5'!J23</f>
        <v>0</v>
      </c>
      <c r="AC24" s="570">
        <f>N24+Q24+T24+W24+Z24</f>
        <v>0</v>
      </c>
      <c r="AD24" s="572">
        <f>O24+R24+U24+X24+AA24</f>
        <v>0</v>
      </c>
      <c r="AE24" s="572">
        <f>P24+S24+V24+Y24+AB24</f>
        <v>0</v>
      </c>
    </row>
    <row r="25" spans="1:31" hidden="1">
      <c r="A25" s="64" t="str">
        <f>CONCATENATE(K25," Salary")</f>
        <v>Senior Personnel 10 Salary</v>
      </c>
      <c r="B25" s="418">
        <f>'BP1'!$K$24</f>
        <v>0</v>
      </c>
      <c r="C25" s="418">
        <f ca="1">'BP2'!$K$24</f>
        <v>0</v>
      </c>
      <c r="D25" s="418">
        <f ca="1">'BP3'!$K$24</f>
        <v>0</v>
      </c>
      <c r="E25" s="418">
        <f ca="1">'BP4'!$K$24</f>
        <v>0</v>
      </c>
      <c r="F25" s="419">
        <f ca="1">'BP5'!$K$24</f>
        <v>0</v>
      </c>
      <c r="G25" s="418">
        <f t="shared" ca="1" si="0"/>
        <v>0</v>
      </c>
      <c r="I25" s="116" t="s">
        <v>485</v>
      </c>
      <c r="K25" s="592" t="str">
        <f>IF(ISBLANK('BP1'!$B$24),"Senior Personnel 10",""&amp;'BP1'!$B$24)</f>
        <v>Senior Personnel 10</v>
      </c>
      <c r="L25" s="593"/>
      <c r="M25" s="594"/>
      <c r="N25" s="569" t="s">
        <v>2</v>
      </c>
      <c r="O25" s="571" t="s">
        <v>198</v>
      </c>
      <c r="P25" s="571" t="s">
        <v>199</v>
      </c>
      <c r="Q25" s="569" t="s">
        <v>2</v>
      </c>
      <c r="R25" s="571" t="s">
        <v>198</v>
      </c>
      <c r="S25" s="571" t="s">
        <v>199</v>
      </c>
      <c r="T25" s="569" t="s">
        <v>2</v>
      </c>
      <c r="U25" s="571" t="s">
        <v>198</v>
      </c>
      <c r="V25" s="571" t="s">
        <v>199</v>
      </c>
      <c r="W25" s="569" t="s">
        <v>2</v>
      </c>
      <c r="X25" s="571" t="s">
        <v>198</v>
      </c>
      <c r="Y25" s="571" t="s">
        <v>199</v>
      </c>
      <c r="Z25" s="569" t="s">
        <v>2</v>
      </c>
      <c r="AA25" s="571" t="s">
        <v>198</v>
      </c>
      <c r="AB25" s="571" t="s">
        <v>199</v>
      </c>
      <c r="AC25" s="569" t="s">
        <v>2</v>
      </c>
      <c r="AD25" s="571" t="s">
        <v>198</v>
      </c>
      <c r="AE25" s="571" t="s">
        <v>199</v>
      </c>
    </row>
    <row r="26" spans="1:31" hidden="1">
      <c r="A26" s="64" t="str">
        <f>CONCATENATE(K25," Fringe")</f>
        <v>Senior Personnel 10 Fringe</v>
      </c>
      <c r="B26" s="418">
        <f>'BP1'!$L$24</f>
        <v>0</v>
      </c>
      <c r="C26" s="418">
        <f ca="1">'BP2'!$L$24</f>
        <v>0</v>
      </c>
      <c r="D26" s="418">
        <f ca="1">'BP3'!$L$24</f>
        <v>0</v>
      </c>
      <c r="E26" s="418">
        <f ca="1">'BP4'!$L$24</f>
        <v>0</v>
      </c>
      <c r="F26" s="419">
        <f ca="1">'BP5'!$L$24</f>
        <v>0</v>
      </c>
      <c r="G26" s="418">
        <f t="shared" ca="1" si="0"/>
        <v>0</v>
      </c>
      <c r="I26" s="116" t="s">
        <v>485</v>
      </c>
      <c r="K26" s="595"/>
      <c r="L26" s="596"/>
      <c r="M26" s="597"/>
      <c r="N26" s="570">
        <f>'BP1'!H24</f>
        <v>0</v>
      </c>
      <c r="O26" s="572">
        <f>'BP1'!I24</f>
        <v>0</v>
      </c>
      <c r="P26" s="572">
        <f>'BP1'!J24</f>
        <v>0</v>
      </c>
      <c r="Q26" s="570">
        <f>'BP2'!H24</f>
        <v>0</v>
      </c>
      <c r="R26" s="572">
        <f>'BP2'!I24</f>
        <v>0</v>
      </c>
      <c r="S26" s="572">
        <f>'BP2'!J24</f>
        <v>0</v>
      </c>
      <c r="T26" s="570">
        <f>'BP3'!H24</f>
        <v>0</v>
      </c>
      <c r="U26" s="572">
        <f>'BP3'!I24</f>
        <v>0</v>
      </c>
      <c r="V26" s="572">
        <f>'BP3'!J24</f>
        <v>0</v>
      </c>
      <c r="W26" s="570">
        <f>'BP4'!H24</f>
        <v>0</v>
      </c>
      <c r="X26" s="572">
        <f>'BP4'!I24</f>
        <v>0</v>
      </c>
      <c r="Y26" s="572">
        <f>'BP4'!J24</f>
        <v>0</v>
      </c>
      <c r="Z26" s="570">
        <f>'BP5'!H24</f>
        <v>0</v>
      </c>
      <c r="AA26" s="572">
        <f>'BP5'!I24</f>
        <v>0</v>
      </c>
      <c r="AB26" s="572">
        <f>'BP5'!J24</f>
        <v>0</v>
      </c>
      <c r="AC26" s="570">
        <f>N26+Q26+T26+W26+Z26</f>
        <v>0</v>
      </c>
      <c r="AD26" s="572">
        <f>O26+R26+U26+X26+AA26</f>
        <v>0</v>
      </c>
      <c r="AE26" s="572">
        <f>P26+S26+V26+Y26+AB26</f>
        <v>0</v>
      </c>
    </row>
    <row r="27" spans="1:31" hidden="1">
      <c r="A27" s="64" t="str">
        <f>CONCATENATE(K27," Salary")</f>
        <v>Senior Personnel 11 Salary</v>
      </c>
      <c r="B27" s="418">
        <f>'BP1'!$K$25</f>
        <v>0</v>
      </c>
      <c r="C27" s="418">
        <f ca="1">'BP2'!$K$25</f>
        <v>0</v>
      </c>
      <c r="D27" s="418">
        <f ca="1">'BP3'!$K$25</f>
        <v>0</v>
      </c>
      <c r="E27" s="418">
        <f ca="1">'BP4'!$K$25</f>
        <v>0</v>
      </c>
      <c r="F27" s="419">
        <f ca="1">'BP5'!$K$25</f>
        <v>0</v>
      </c>
      <c r="G27" s="418">
        <f t="shared" ca="1" si="0"/>
        <v>0</v>
      </c>
      <c r="I27" s="116" t="s">
        <v>486</v>
      </c>
      <c r="K27" s="592" t="str">
        <f>IF(ISBLANK('BP1'!$B$25),"Senior Personnel 11",""&amp;'BP1'!$B$25)</f>
        <v>Senior Personnel 11</v>
      </c>
      <c r="L27" s="593"/>
      <c r="M27" s="594"/>
      <c r="N27" s="569" t="s">
        <v>2</v>
      </c>
      <c r="O27" s="571" t="s">
        <v>198</v>
      </c>
      <c r="P27" s="571" t="s">
        <v>199</v>
      </c>
      <c r="Q27" s="569" t="s">
        <v>2</v>
      </c>
      <c r="R27" s="571" t="s">
        <v>198</v>
      </c>
      <c r="S27" s="571" t="s">
        <v>199</v>
      </c>
      <c r="T27" s="569" t="s">
        <v>2</v>
      </c>
      <c r="U27" s="571" t="s">
        <v>198</v>
      </c>
      <c r="V27" s="571" t="s">
        <v>199</v>
      </c>
      <c r="W27" s="569" t="s">
        <v>2</v>
      </c>
      <c r="X27" s="571" t="s">
        <v>198</v>
      </c>
      <c r="Y27" s="571" t="s">
        <v>199</v>
      </c>
      <c r="Z27" s="569" t="s">
        <v>2</v>
      </c>
      <c r="AA27" s="571" t="s">
        <v>198</v>
      </c>
      <c r="AB27" s="571" t="s">
        <v>199</v>
      </c>
      <c r="AC27" s="569" t="s">
        <v>2</v>
      </c>
      <c r="AD27" s="571" t="s">
        <v>198</v>
      </c>
      <c r="AE27" s="571" t="s">
        <v>199</v>
      </c>
    </row>
    <row r="28" spans="1:31" hidden="1">
      <c r="A28" s="64" t="str">
        <f>CONCATENATE(K27," Fringe")</f>
        <v>Senior Personnel 11 Fringe</v>
      </c>
      <c r="B28" s="418">
        <f>'BP1'!$L$25</f>
        <v>0</v>
      </c>
      <c r="C28" s="418">
        <f ca="1">'BP2'!$L$25</f>
        <v>0</v>
      </c>
      <c r="D28" s="418">
        <f ca="1">'BP3'!$L$25</f>
        <v>0</v>
      </c>
      <c r="E28" s="418">
        <f ca="1">'BP4'!$L$25</f>
        <v>0</v>
      </c>
      <c r="F28" s="419">
        <f ca="1">'BP5'!$L$25</f>
        <v>0</v>
      </c>
      <c r="G28" s="418">
        <f t="shared" ca="1" si="0"/>
        <v>0</v>
      </c>
      <c r="I28" s="116" t="s">
        <v>486</v>
      </c>
      <c r="K28" s="595"/>
      <c r="L28" s="596"/>
      <c r="M28" s="597"/>
      <c r="N28" s="570">
        <f>'BP1'!H25</f>
        <v>0</v>
      </c>
      <c r="O28" s="572">
        <f>'BP1'!I25</f>
        <v>0</v>
      </c>
      <c r="P28" s="572">
        <f>'BP1'!J25</f>
        <v>0</v>
      </c>
      <c r="Q28" s="570">
        <f>'BP2'!H25</f>
        <v>0</v>
      </c>
      <c r="R28" s="572">
        <f>'BP2'!I25</f>
        <v>0</v>
      </c>
      <c r="S28" s="572">
        <f>'BP2'!J25</f>
        <v>0</v>
      </c>
      <c r="T28" s="570">
        <f>'BP3'!H25</f>
        <v>0</v>
      </c>
      <c r="U28" s="572">
        <f>'BP3'!I25</f>
        <v>0</v>
      </c>
      <c r="V28" s="572">
        <f>'BP3'!J25</f>
        <v>0</v>
      </c>
      <c r="W28" s="570">
        <f>'BP4'!H25</f>
        <v>0</v>
      </c>
      <c r="X28" s="572">
        <f>'BP4'!I25</f>
        <v>0</v>
      </c>
      <c r="Y28" s="572">
        <f>'BP4'!J25</f>
        <v>0</v>
      </c>
      <c r="Z28" s="570">
        <f>'BP5'!H25</f>
        <v>0</v>
      </c>
      <c r="AA28" s="572">
        <f>'BP5'!I25</f>
        <v>0</v>
      </c>
      <c r="AB28" s="572">
        <f>'BP5'!J25</f>
        <v>0</v>
      </c>
      <c r="AC28" s="570">
        <f>N28+Q28+T28+W28+Z28</f>
        <v>0</v>
      </c>
      <c r="AD28" s="572">
        <f>O28+R28+U28+X28+AA28</f>
        <v>0</v>
      </c>
      <c r="AE28" s="572">
        <f>P28+S28+V28+Y28+AB28</f>
        <v>0</v>
      </c>
    </row>
    <row r="29" spans="1:31" hidden="1">
      <c r="A29" s="64" t="str">
        <f>CONCATENATE(K29," Salary")</f>
        <v>Senior Personnel 12 Salary</v>
      </c>
      <c r="B29" s="418">
        <f>'BP1'!$K$26</f>
        <v>0</v>
      </c>
      <c r="C29" s="418">
        <f ca="1">'BP2'!$K$26</f>
        <v>0</v>
      </c>
      <c r="D29" s="418">
        <f ca="1">'BP3'!$K$26</f>
        <v>0</v>
      </c>
      <c r="E29" s="418">
        <f ca="1">'BP4'!$K$26</f>
        <v>0</v>
      </c>
      <c r="F29" s="419">
        <f ca="1">'BP5'!$K$26</f>
        <v>0</v>
      </c>
      <c r="G29" s="418">
        <f t="shared" ca="1" si="0"/>
        <v>0</v>
      </c>
      <c r="I29" s="116" t="s">
        <v>486</v>
      </c>
      <c r="K29" s="592" t="str">
        <f>IF(ISBLANK('BP1'!$B$26),"Senior Personnel 12",""&amp;'BP1'!$B$26)</f>
        <v>Senior Personnel 12</v>
      </c>
      <c r="L29" s="593"/>
      <c r="M29" s="594"/>
      <c r="N29" s="569" t="s">
        <v>2</v>
      </c>
      <c r="O29" s="571" t="s">
        <v>198</v>
      </c>
      <c r="P29" s="571" t="s">
        <v>199</v>
      </c>
      <c r="Q29" s="569" t="s">
        <v>2</v>
      </c>
      <c r="R29" s="571" t="s">
        <v>198</v>
      </c>
      <c r="S29" s="571" t="s">
        <v>199</v>
      </c>
      <c r="T29" s="569" t="s">
        <v>2</v>
      </c>
      <c r="U29" s="571" t="s">
        <v>198</v>
      </c>
      <c r="V29" s="571" t="s">
        <v>199</v>
      </c>
      <c r="W29" s="569" t="s">
        <v>2</v>
      </c>
      <c r="X29" s="571" t="s">
        <v>198</v>
      </c>
      <c r="Y29" s="571" t="s">
        <v>199</v>
      </c>
      <c r="Z29" s="569" t="s">
        <v>2</v>
      </c>
      <c r="AA29" s="571" t="s">
        <v>198</v>
      </c>
      <c r="AB29" s="571" t="s">
        <v>199</v>
      </c>
      <c r="AC29" s="569" t="s">
        <v>2</v>
      </c>
      <c r="AD29" s="571" t="s">
        <v>198</v>
      </c>
      <c r="AE29" s="571" t="s">
        <v>199</v>
      </c>
    </row>
    <row r="30" spans="1:31" hidden="1">
      <c r="A30" s="64" t="str">
        <f>CONCATENATE(K29," Fringe")</f>
        <v>Senior Personnel 12 Fringe</v>
      </c>
      <c r="B30" s="418">
        <f>'BP1'!$L$26</f>
        <v>0</v>
      </c>
      <c r="C30" s="418">
        <f ca="1">'BP2'!$L$26</f>
        <v>0</v>
      </c>
      <c r="D30" s="418">
        <f ca="1">'BP3'!$L$26</f>
        <v>0</v>
      </c>
      <c r="E30" s="418">
        <f ca="1">'BP4'!$L$26</f>
        <v>0</v>
      </c>
      <c r="F30" s="419">
        <f ca="1">'BP5'!$L$26</f>
        <v>0</v>
      </c>
      <c r="G30" s="418">
        <f t="shared" ca="1" si="0"/>
        <v>0</v>
      </c>
      <c r="I30" s="116" t="s">
        <v>486</v>
      </c>
      <c r="K30" s="595"/>
      <c r="L30" s="596"/>
      <c r="M30" s="597"/>
      <c r="N30" s="570">
        <f>'BP1'!H26</f>
        <v>0</v>
      </c>
      <c r="O30" s="572">
        <f>'BP1'!I26</f>
        <v>0</v>
      </c>
      <c r="P30" s="572">
        <f>'BP1'!J26</f>
        <v>0</v>
      </c>
      <c r="Q30" s="570">
        <f>'BP2'!H26</f>
        <v>0</v>
      </c>
      <c r="R30" s="572">
        <f>'BP2'!I26</f>
        <v>0</v>
      </c>
      <c r="S30" s="572">
        <f>'BP2'!J26</f>
        <v>0</v>
      </c>
      <c r="T30" s="570">
        <f>'BP3'!H26</f>
        <v>0</v>
      </c>
      <c r="U30" s="572">
        <f>'BP3'!I26</f>
        <v>0</v>
      </c>
      <c r="V30" s="572">
        <f>'BP3'!J26</f>
        <v>0</v>
      </c>
      <c r="W30" s="570">
        <f>'BP4'!H26</f>
        <v>0</v>
      </c>
      <c r="X30" s="572">
        <f>'BP4'!I26</f>
        <v>0</v>
      </c>
      <c r="Y30" s="572">
        <f>'BP4'!J26</f>
        <v>0</v>
      </c>
      <c r="Z30" s="570">
        <f>'BP5'!H26</f>
        <v>0</v>
      </c>
      <c r="AA30" s="572">
        <f>'BP5'!I26</f>
        <v>0</v>
      </c>
      <c r="AB30" s="572">
        <f>'BP5'!J26</f>
        <v>0</v>
      </c>
      <c r="AC30" s="570">
        <f>N30+Q30+T30+W30+Z30</f>
        <v>0</v>
      </c>
      <c r="AD30" s="572">
        <f>O30+R30+U30+X30+AA30</f>
        <v>0</v>
      </c>
      <c r="AE30" s="572">
        <f>P30+S30+V30+Y30+AB30</f>
        <v>0</v>
      </c>
    </row>
    <row r="31" spans="1:31" hidden="1">
      <c r="A31" s="64" t="str">
        <f>CONCATENATE(K31," Salary")</f>
        <v>Senior Personnel 13 Salary</v>
      </c>
      <c r="B31" s="418">
        <f>'BP1'!$K$27</f>
        <v>0</v>
      </c>
      <c r="C31" s="418">
        <f ca="1">'BP2'!$K$27</f>
        <v>0</v>
      </c>
      <c r="D31" s="418">
        <f ca="1">'BP3'!$K$27</f>
        <v>0</v>
      </c>
      <c r="E31" s="418">
        <f ca="1">'BP4'!$K$27</f>
        <v>0</v>
      </c>
      <c r="F31" s="419">
        <f ca="1">'BP5'!$K$27</f>
        <v>0</v>
      </c>
      <c r="G31" s="418">
        <f t="shared" ca="1" si="0"/>
        <v>0</v>
      </c>
      <c r="I31" s="116" t="s">
        <v>486</v>
      </c>
      <c r="K31" s="592" t="str">
        <f>IF(ISBLANK('BP1'!$B$27),"Senior Personnel 13",""&amp;'BP1'!$B$27)</f>
        <v>Senior Personnel 13</v>
      </c>
      <c r="L31" s="593"/>
      <c r="M31" s="594"/>
      <c r="N31" s="569" t="s">
        <v>2</v>
      </c>
      <c r="O31" s="571" t="s">
        <v>198</v>
      </c>
      <c r="P31" s="571" t="s">
        <v>199</v>
      </c>
      <c r="Q31" s="569" t="s">
        <v>2</v>
      </c>
      <c r="R31" s="571" t="s">
        <v>198</v>
      </c>
      <c r="S31" s="571" t="s">
        <v>199</v>
      </c>
      <c r="T31" s="569" t="s">
        <v>2</v>
      </c>
      <c r="U31" s="571" t="s">
        <v>198</v>
      </c>
      <c r="V31" s="571" t="s">
        <v>199</v>
      </c>
      <c r="W31" s="569" t="s">
        <v>2</v>
      </c>
      <c r="X31" s="571" t="s">
        <v>198</v>
      </c>
      <c r="Y31" s="571" t="s">
        <v>199</v>
      </c>
      <c r="Z31" s="569" t="s">
        <v>2</v>
      </c>
      <c r="AA31" s="571" t="s">
        <v>198</v>
      </c>
      <c r="AB31" s="571" t="s">
        <v>199</v>
      </c>
      <c r="AC31" s="569" t="s">
        <v>2</v>
      </c>
      <c r="AD31" s="571" t="s">
        <v>198</v>
      </c>
      <c r="AE31" s="571" t="s">
        <v>199</v>
      </c>
    </row>
    <row r="32" spans="1:31" hidden="1">
      <c r="A32" s="64" t="str">
        <f>CONCATENATE(K31," Fringe")</f>
        <v>Senior Personnel 13 Fringe</v>
      </c>
      <c r="B32" s="418">
        <f>'BP1'!$L$27</f>
        <v>0</v>
      </c>
      <c r="C32" s="418">
        <f ca="1">'BP2'!$L$27</f>
        <v>0</v>
      </c>
      <c r="D32" s="418">
        <f ca="1">'BP3'!$L$27</f>
        <v>0</v>
      </c>
      <c r="E32" s="418">
        <f ca="1">'BP4'!$L$27</f>
        <v>0</v>
      </c>
      <c r="F32" s="419">
        <f ca="1">'BP5'!$L$27</f>
        <v>0</v>
      </c>
      <c r="G32" s="418">
        <f t="shared" ca="1" si="0"/>
        <v>0</v>
      </c>
      <c r="I32" s="116" t="s">
        <v>486</v>
      </c>
      <c r="K32" s="595"/>
      <c r="L32" s="596"/>
      <c r="M32" s="597"/>
      <c r="N32" s="570">
        <f>'BP1'!H27</f>
        <v>0</v>
      </c>
      <c r="O32" s="572">
        <f>'BP1'!I27</f>
        <v>0</v>
      </c>
      <c r="P32" s="572">
        <f>'BP1'!J27</f>
        <v>0</v>
      </c>
      <c r="Q32" s="570">
        <f>'BP2'!H27</f>
        <v>0</v>
      </c>
      <c r="R32" s="572">
        <f>'BP2'!I27</f>
        <v>0</v>
      </c>
      <c r="S32" s="572">
        <f>'BP2'!J27</f>
        <v>0</v>
      </c>
      <c r="T32" s="570">
        <f>'BP3'!H27</f>
        <v>0</v>
      </c>
      <c r="U32" s="572">
        <f>'BP3'!I27</f>
        <v>0</v>
      </c>
      <c r="V32" s="572">
        <f>'BP3'!J27</f>
        <v>0</v>
      </c>
      <c r="W32" s="570">
        <f>'BP4'!H27</f>
        <v>0</v>
      </c>
      <c r="X32" s="572">
        <f>'BP4'!I27</f>
        <v>0</v>
      </c>
      <c r="Y32" s="572">
        <f>'BP4'!J27</f>
        <v>0</v>
      </c>
      <c r="Z32" s="570">
        <f>'BP5'!H27</f>
        <v>0</v>
      </c>
      <c r="AA32" s="572">
        <f>'BP5'!I27</f>
        <v>0</v>
      </c>
      <c r="AB32" s="572">
        <f>'BP5'!J27</f>
        <v>0</v>
      </c>
      <c r="AC32" s="570">
        <f>N32+Q32+T32+W32+Z32</f>
        <v>0</v>
      </c>
      <c r="AD32" s="572">
        <f>O32+R32+U32+X32+AA32</f>
        <v>0</v>
      </c>
      <c r="AE32" s="572">
        <f>P32+S32+V32+Y32+AB32</f>
        <v>0</v>
      </c>
    </row>
    <row r="33" spans="1:31" hidden="1">
      <c r="A33" s="64" t="str">
        <f>CONCATENATE(K33," Salary")</f>
        <v>Senior Personnel 14 Salary</v>
      </c>
      <c r="B33" s="418">
        <f>'BP1'!$K$28</f>
        <v>0</v>
      </c>
      <c r="C33" s="418">
        <f ca="1">'BP2'!$K$28</f>
        <v>0</v>
      </c>
      <c r="D33" s="418">
        <f ca="1">'BP3'!$K$28</f>
        <v>0</v>
      </c>
      <c r="E33" s="418">
        <f ca="1">'BP4'!$K$28</f>
        <v>0</v>
      </c>
      <c r="F33" s="419">
        <f ca="1">'BP5'!$K$28</f>
        <v>0</v>
      </c>
      <c r="G33" s="418">
        <f t="shared" ca="1" si="0"/>
        <v>0</v>
      </c>
      <c r="I33" s="116" t="s">
        <v>486</v>
      </c>
      <c r="K33" s="592" t="str">
        <f>IF(ISBLANK('BP1'!$B$28),"Senior Personnel 14",""&amp;'BP1'!$B$28)</f>
        <v>Senior Personnel 14</v>
      </c>
      <c r="L33" s="593"/>
      <c r="M33" s="594"/>
      <c r="N33" s="569" t="s">
        <v>2</v>
      </c>
      <c r="O33" s="571" t="s">
        <v>198</v>
      </c>
      <c r="P33" s="571" t="s">
        <v>199</v>
      </c>
      <c r="Q33" s="569" t="s">
        <v>2</v>
      </c>
      <c r="R33" s="571" t="s">
        <v>198</v>
      </c>
      <c r="S33" s="571" t="s">
        <v>199</v>
      </c>
      <c r="T33" s="569" t="s">
        <v>2</v>
      </c>
      <c r="U33" s="571" t="s">
        <v>198</v>
      </c>
      <c r="V33" s="571" t="s">
        <v>199</v>
      </c>
      <c r="W33" s="569" t="s">
        <v>2</v>
      </c>
      <c r="X33" s="571" t="s">
        <v>198</v>
      </c>
      <c r="Y33" s="571" t="s">
        <v>199</v>
      </c>
      <c r="Z33" s="569" t="s">
        <v>2</v>
      </c>
      <c r="AA33" s="571" t="s">
        <v>198</v>
      </c>
      <c r="AB33" s="571" t="s">
        <v>199</v>
      </c>
      <c r="AC33" s="569" t="s">
        <v>2</v>
      </c>
      <c r="AD33" s="571" t="s">
        <v>198</v>
      </c>
      <c r="AE33" s="571" t="s">
        <v>199</v>
      </c>
    </row>
    <row r="34" spans="1:31" hidden="1">
      <c r="A34" s="64" t="str">
        <f>CONCATENATE(K33," Fringe")</f>
        <v>Senior Personnel 14 Fringe</v>
      </c>
      <c r="B34" s="418">
        <f>'BP1'!$L$28</f>
        <v>0</v>
      </c>
      <c r="C34" s="418">
        <f ca="1">'BP2'!$L$28</f>
        <v>0</v>
      </c>
      <c r="D34" s="418">
        <f ca="1">'BP3'!$L$28</f>
        <v>0</v>
      </c>
      <c r="E34" s="418">
        <f ca="1">'BP4'!$L$28</f>
        <v>0</v>
      </c>
      <c r="F34" s="419">
        <f ca="1">'BP5'!$L$28</f>
        <v>0</v>
      </c>
      <c r="G34" s="418">
        <f t="shared" ca="1" si="0"/>
        <v>0</v>
      </c>
      <c r="I34" s="116" t="s">
        <v>486</v>
      </c>
      <c r="K34" s="595"/>
      <c r="L34" s="596"/>
      <c r="M34" s="597"/>
      <c r="N34" s="570">
        <f>'BP1'!H28</f>
        <v>0</v>
      </c>
      <c r="O34" s="572">
        <f>'BP1'!I28</f>
        <v>0</v>
      </c>
      <c r="P34" s="572">
        <f>'BP1'!J28</f>
        <v>0</v>
      </c>
      <c r="Q34" s="570">
        <f>'BP2'!H28</f>
        <v>0</v>
      </c>
      <c r="R34" s="572">
        <f>'BP2'!I28</f>
        <v>0</v>
      </c>
      <c r="S34" s="572">
        <f>'BP2'!J28</f>
        <v>0</v>
      </c>
      <c r="T34" s="570">
        <f>'BP3'!H28</f>
        <v>0</v>
      </c>
      <c r="U34" s="572">
        <f>'BP3'!I28</f>
        <v>0</v>
      </c>
      <c r="V34" s="572">
        <f>'BP3'!J28</f>
        <v>0</v>
      </c>
      <c r="W34" s="570">
        <f>'BP4'!H28</f>
        <v>0</v>
      </c>
      <c r="X34" s="572">
        <f>'BP4'!I28</f>
        <v>0</v>
      </c>
      <c r="Y34" s="572">
        <f>'BP4'!J28</f>
        <v>0</v>
      </c>
      <c r="Z34" s="570">
        <f>'BP5'!H28</f>
        <v>0</v>
      </c>
      <c r="AA34" s="572">
        <f>'BP5'!I28</f>
        <v>0</v>
      </c>
      <c r="AB34" s="572">
        <f>'BP5'!J28</f>
        <v>0</v>
      </c>
      <c r="AC34" s="570">
        <f>N34+Q34+T34+W34+Z34</f>
        <v>0</v>
      </c>
      <c r="AD34" s="572">
        <f>O34+R34+U34+X34+AA34</f>
        <v>0</v>
      </c>
      <c r="AE34" s="572">
        <f>P34+S34+V34+Y34+AB34</f>
        <v>0</v>
      </c>
    </row>
    <row r="35" spans="1:31" hidden="1">
      <c r="A35" s="64" t="str">
        <f>CONCATENATE(K35," Salary")</f>
        <v>Senior Personnel 15 Salary</v>
      </c>
      <c r="B35" s="418">
        <f>'BP1'!$K$29</f>
        <v>0</v>
      </c>
      <c r="C35" s="418">
        <f ca="1">'BP2'!$K$29</f>
        <v>0</v>
      </c>
      <c r="D35" s="418">
        <f ca="1">'BP3'!$K$29</f>
        <v>0</v>
      </c>
      <c r="E35" s="418">
        <f ca="1">'BP4'!$K$29</f>
        <v>0</v>
      </c>
      <c r="F35" s="419">
        <f ca="1">'BP5'!$K$29</f>
        <v>0</v>
      </c>
      <c r="G35" s="418">
        <f t="shared" ca="1" si="0"/>
        <v>0</v>
      </c>
      <c r="I35" s="116" t="s">
        <v>486</v>
      </c>
      <c r="K35" s="592" t="str">
        <f>IF(ISBLANK('BP1'!$B$29),"Senior Personnel 15",""&amp;'BP1'!$B$29)</f>
        <v>Senior Personnel 15</v>
      </c>
      <c r="L35" s="593"/>
      <c r="M35" s="594"/>
      <c r="N35" s="569" t="s">
        <v>2</v>
      </c>
      <c r="O35" s="571" t="s">
        <v>198</v>
      </c>
      <c r="P35" s="571" t="s">
        <v>199</v>
      </c>
      <c r="Q35" s="569" t="s">
        <v>2</v>
      </c>
      <c r="R35" s="571" t="s">
        <v>198</v>
      </c>
      <c r="S35" s="571" t="s">
        <v>199</v>
      </c>
      <c r="T35" s="569" t="s">
        <v>2</v>
      </c>
      <c r="U35" s="571" t="s">
        <v>198</v>
      </c>
      <c r="V35" s="571" t="s">
        <v>199</v>
      </c>
      <c r="W35" s="569" t="s">
        <v>2</v>
      </c>
      <c r="X35" s="571" t="s">
        <v>198</v>
      </c>
      <c r="Y35" s="571" t="s">
        <v>199</v>
      </c>
      <c r="Z35" s="569" t="s">
        <v>2</v>
      </c>
      <c r="AA35" s="571" t="s">
        <v>198</v>
      </c>
      <c r="AB35" s="571" t="s">
        <v>199</v>
      </c>
      <c r="AC35" s="569" t="s">
        <v>2</v>
      </c>
      <c r="AD35" s="571" t="s">
        <v>198</v>
      </c>
      <c r="AE35" s="571" t="s">
        <v>199</v>
      </c>
    </row>
    <row r="36" spans="1:31" hidden="1">
      <c r="A36" s="64" t="str">
        <f>CONCATENATE(K35," Fringe")</f>
        <v>Senior Personnel 15 Fringe</v>
      </c>
      <c r="B36" s="424">
        <f>'BP1'!$L$29</f>
        <v>0</v>
      </c>
      <c r="C36" s="424">
        <f ca="1">'BP2'!$L$29</f>
        <v>0</v>
      </c>
      <c r="D36" s="424">
        <f ca="1">'BP3'!$L$29</f>
        <v>0</v>
      </c>
      <c r="E36" s="424">
        <f ca="1">'BP4'!$L$29</f>
        <v>0</v>
      </c>
      <c r="F36" s="425">
        <f ca="1">'BP5'!$L$29</f>
        <v>0</v>
      </c>
      <c r="G36" s="418">
        <f t="shared" ca="1" si="0"/>
        <v>0</v>
      </c>
      <c r="I36" s="116" t="s">
        <v>486</v>
      </c>
      <c r="K36" s="595"/>
      <c r="L36" s="596"/>
      <c r="M36" s="597"/>
      <c r="N36" s="570">
        <f>'BP1'!H29</f>
        <v>0</v>
      </c>
      <c r="O36" s="572">
        <f>'BP1'!I29</f>
        <v>0</v>
      </c>
      <c r="P36" s="572">
        <f>'BP1'!J29</f>
        <v>0</v>
      </c>
      <c r="Q36" s="570">
        <f>'BP2'!H29</f>
        <v>0</v>
      </c>
      <c r="R36" s="572">
        <f>'BP2'!I29</f>
        <v>0</v>
      </c>
      <c r="S36" s="572">
        <f>'BP2'!J29</f>
        <v>0</v>
      </c>
      <c r="T36" s="570">
        <f>'BP3'!H29</f>
        <v>0</v>
      </c>
      <c r="U36" s="572">
        <f>'BP3'!I29</f>
        <v>0</v>
      </c>
      <c r="V36" s="572">
        <f>'BP3'!J29</f>
        <v>0</v>
      </c>
      <c r="W36" s="570">
        <f>'BP4'!H29</f>
        <v>0</v>
      </c>
      <c r="X36" s="572">
        <f>'BP4'!I29</f>
        <v>0</v>
      </c>
      <c r="Y36" s="572">
        <f>'BP4'!J29</f>
        <v>0</v>
      </c>
      <c r="Z36" s="570">
        <f>'BP5'!H29</f>
        <v>0</v>
      </c>
      <c r="AA36" s="572">
        <f>'BP5'!I29</f>
        <v>0</v>
      </c>
      <c r="AB36" s="572">
        <f>'BP5'!J29</f>
        <v>0</v>
      </c>
      <c r="AC36" s="570">
        <f>N36+Q36+T36+W36+Z36</f>
        <v>0</v>
      </c>
      <c r="AD36" s="572">
        <f>O36+R36+U36+X36+AA36</f>
        <v>0</v>
      </c>
      <c r="AE36" s="572">
        <f>P36+S36+V36+Y36+AB36</f>
        <v>0</v>
      </c>
    </row>
    <row r="37" spans="1:31">
      <c r="A37" s="69" t="s">
        <v>88</v>
      </c>
      <c r="B37" s="420">
        <f>'BP1'!$K30</f>
        <v>0</v>
      </c>
      <c r="C37" s="420">
        <f ca="1">'BP2'!$K30</f>
        <v>0</v>
      </c>
      <c r="D37" s="420">
        <f ca="1">'BP3'!$K30</f>
        <v>0</v>
      </c>
      <c r="E37" s="420">
        <f ca="1">'BP4'!$K30</f>
        <v>0</v>
      </c>
      <c r="F37" s="421">
        <f ca="1">'BP5'!$K30</f>
        <v>0</v>
      </c>
      <c r="G37" s="420">
        <f t="shared" ca="1" si="0"/>
        <v>0</v>
      </c>
      <c r="I37" s="116" t="s">
        <v>219</v>
      </c>
    </row>
    <row r="38" spans="1:31" ht="15.6" customHeight="1">
      <c r="A38" s="63" t="s">
        <v>89</v>
      </c>
      <c r="B38" s="422">
        <f>'BP1'!$L30</f>
        <v>0</v>
      </c>
      <c r="C38" s="422">
        <f ca="1">'BP2'!$L30</f>
        <v>0</v>
      </c>
      <c r="D38" s="422">
        <f ca="1">'BP3'!$L30</f>
        <v>0</v>
      </c>
      <c r="E38" s="422">
        <f ca="1">'BP4'!$L30</f>
        <v>0</v>
      </c>
      <c r="F38" s="423">
        <f ca="1">'BP5'!$L30</f>
        <v>0</v>
      </c>
      <c r="G38" s="422">
        <f t="shared" ca="1" si="0"/>
        <v>0</v>
      </c>
      <c r="I38" s="116" t="s">
        <v>219</v>
      </c>
      <c r="K38" s="605" t="s">
        <v>227</v>
      </c>
      <c r="L38" s="605"/>
      <c r="M38" s="605"/>
      <c r="N38" s="621" t="s">
        <v>424</v>
      </c>
      <c r="O38" s="622"/>
      <c r="P38" s="623"/>
      <c r="Q38" s="621" t="s">
        <v>425</v>
      </c>
      <c r="R38" s="622"/>
      <c r="S38" s="623"/>
      <c r="T38" s="621" t="s">
        <v>426</v>
      </c>
      <c r="U38" s="622"/>
      <c r="V38" s="623"/>
      <c r="W38" s="621" t="s">
        <v>427</v>
      </c>
      <c r="X38" s="622"/>
      <c r="Y38" s="623"/>
      <c r="Z38" s="619" t="s">
        <v>428</v>
      </c>
      <c r="AA38" s="619"/>
      <c r="AB38" s="619"/>
      <c r="AC38" s="620" t="s">
        <v>97</v>
      </c>
      <c r="AD38" s="620"/>
      <c r="AE38" s="620"/>
    </row>
    <row r="39" spans="1:31" ht="15.6" customHeight="1">
      <c r="A39" s="62"/>
      <c r="B39" s="395"/>
      <c r="C39" s="395"/>
      <c r="D39" s="395"/>
      <c r="E39" s="395"/>
      <c r="F39" s="395"/>
      <c r="G39" s="395"/>
      <c r="I39" s="116" t="s">
        <v>219</v>
      </c>
      <c r="K39" s="605"/>
      <c r="L39" s="605"/>
      <c r="M39" s="605"/>
      <c r="N39" s="624"/>
      <c r="O39" s="625"/>
      <c r="P39" s="626"/>
      <c r="Q39" s="624"/>
      <c r="R39" s="625"/>
      <c r="S39" s="626"/>
      <c r="T39" s="624"/>
      <c r="U39" s="625"/>
      <c r="V39" s="626"/>
      <c r="W39" s="624"/>
      <c r="X39" s="625"/>
      <c r="Y39" s="626"/>
      <c r="Z39" s="619"/>
      <c r="AA39" s="619"/>
      <c r="AB39" s="619"/>
      <c r="AC39" s="620"/>
      <c r="AD39" s="620"/>
      <c r="AE39" s="620"/>
    </row>
    <row r="40" spans="1:31">
      <c r="A40" s="64" t="str">
        <f>CONCATENATE('BP1'!$D$32," Salary")</f>
        <v>Postdoctoral Associate Salary</v>
      </c>
      <c r="B40" s="418">
        <f>'BP1'!$K$32</f>
        <v>0</v>
      </c>
      <c r="C40" s="418">
        <f ca="1">'BP2'!$K$32</f>
        <v>0</v>
      </c>
      <c r="D40" s="418">
        <f ca="1">'BP3'!$K$32</f>
        <v>0</v>
      </c>
      <c r="E40" s="418">
        <f ca="1">'BP4'!$K$32</f>
        <v>0</v>
      </c>
      <c r="F40" s="419">
        <f ca="1">'BP5'!$K$32</f>
        <v>0</v>
      </c>
      <c r="G40" s="418">
        <f t="shared" ca="1" si="0"/>
        <v>0</v>
      </c>
      <c r="I40" s="116" t="s">
        <v>219</v>
      </c>
      <c r="K40" s="591" t="str">
        <f>'BP1'!$D$32</f>
        <v>Postdoctoral Associate</v>
      </c>
      <c r="L40" s="591"/>
      <c r="M40" s="591"/>
      <c r="N40" s="569" t="s">
        <v>2</v>
      </c>
      <c r="O40" s="571" t="s">
        <v>198</v>
      </c>
      <c r="P40" s="571" t="s">
        <v>199</v>
      </c>
      <c r="Q40" s="569" t="s">
        <v>2</v>
      </c>
      <c r="R40" s="571" t="s">
        <v>198</v>
      </c>
      <c r="S40" s="571" t="s">
        <v>199</v>
      </c>
      <c r="T40" s="569" t="s">
        <v>2</v>
      </c>
      <c r="U40" s="571" t="s">
        <v>198</v>
      </c>
      <c r="V40" s="571" t="s">
        <v>199</v>
      </c>
      <c r="W40" s="569" t="s">
        <v>2</v>
      </c>
      <c r="X40" s="571" t="s">
        <v>198</v>
      </c>
      <c r="Y40" s="571" t="s">
        <v>199</v>
      </c>
      <c r="Z40" s="569" t="s">
        <v>2</v>
      </c>
      <c r="AA40" s="571" t="s">
        <v>198</v>
      </c>
      <c r="AB40" s="571" t="s">
        <v>199</v>
      </c>
      <c r="AC40" s="569" t="s">
        <v>2</v>
      </c>
      <c r="AD40" s="571" t="s">
        <v>198</v>
      </c>
      <c r="AE40" s="571" t="s">
        <v>199</v>
      </c>
    </row>
    <row r="41" spans="1:31">
      <c r="A41" s="64" t="str">
        <f>CONCATENATE('BP1'!$D$32," Fringe")</f>
        <v>Postdoctoral Associate Fringe</v>
      </c>
      <c r="B41" s="418">
        <f>'BP1'!$L$32</f>
        <v>0</v>
      </c>
      <c r="C41" s="418">
        <f>'BP2'!$L$32</f>
        <v>0</v>
      </c>
      <c r="D41" s="418">
        <f>'BP3'!$L$32</f>
        <v>0</v>
      </c>
      <c r="E41" s="418">
        <f>'BP4'!$L$32</f>
        <v>0</v>
      </c>
      <c r="F41" s="419">
        <f>'BP5'!$L$32</f>
        <v>0</v>
      </c>
      <c r="G41" s="418">
        <f t="shared" si="0"/>
        <v>0</v>
      </c>
      <c r="I41" s="116" t="s">
        <v>219</v>
      </c>
      <c r="K41" s="591"/>
      <c r="L41" s="591"/>
      <c r="M41" s="591"/>
      <c r="N41" s="570">
        <f>'BP1'!H32</f>
        <v>0</v>
      </c>
      <c r="O41" s="572">
        <f>'BP1'!I32</f>
        <v>0</v>
      </c>
      <c r="P41" s="572">
        <f>'BP1'!J32</f>
        <v>0</v>
      </c>
      <c r="Q41" s="570">
        <f>'BP2'!H32</f>
        <v>0</v>
      </c>
      <c r="R41" s="572">
        <f>'BP2'!I32</f>
        <v>0</v>
      </c>
      <c r="S41" s="572">
        <f>'BP2'!J32</f>
        <v>0</v>
      </c>
      <c r="T41" s="570">
        <f>'BP3'!H32</f>
        <v>0</v>
      </c>
      <c r="U41" s="572">
        <f>'BP3'!I32</f>
        <v>0</v>
      </c>
      <c r="V41" s="572">
        <f>'BP3'!J32</f>
        <v>0</v>
      </c>
      <c r="W41" s="570">
        <f>'BP4'!H32</f>
        <v>0</v>
      </c>
      <c r="X41" s="572">
        <f>'BP4'!I32</f>
        <v>0</v>
      </c>
      <c r="Y41" s="572">
        <f>'BP4'!J32</f>
        <v>0</v>
      </c>
      <c r="Z41" s="570">
        <f>'BP5'!H32</f>
        <v>0</v>
      </c>
      <c r="AA41" s="572">
        <f>'BP5'!I32</f>
        <v>0</v>
      </c>
      <c r="AB41" s="572">
        <f>'BP5'!J32</f>
        <v>0</v>
      </c>
      <c r="AC41" s="570">
        <f>N41+Q41+T41+W41+Z41</f>
        <v>0</v>
      </c>
      <c r="AD41" s="572">
        <f>O41+R41+U41+X41+AA41</f>
        <v>0</v>
      </c>
      <c r="AE41" s="572">
        <f>P41+S41+V41+Y41+AB41</f>
        <v>0</v>
      </c>
    </row>
    <row r="42" spans="1:31">
      <c r="A42" s="64" t="str">
        <f>CONCATENATE('BP1'!$D$33," Salary")</f>
        <v>Other Professional Salary</v>
      </c>
      <c r="B42" s="418">
        <f>'BP1'!$K$33</f>
        <v>0</v>
      </c>
      <c r="C42" s="418">
        <f ca="1">'BP2'!$K$33</f>
        <v>0</v>
      </c>
      <c r="D42" s="418">
        <f ca="1">'BP3'!$K$33</f>
        <v>0</v>
      </c>
      <c r="E42" s="418">
        <f ca="1">'BP4'!$K$33</f>
        <v>0</v>
      </c>
      <c r="F42" s="419">
        <f ca="1">'BP5'!$K$33</f>
        <v>0</v>
      </c>
      <c r="G42" s="418">
        <f t="shared" ca="1" si="0"/>
        <v>0</v>
      </c>
      <c r="I42" s="116" t="s">
        <v>219</v>
      </c>
      <c r="K42" s="591" t="str">
        <f>'BP1'!$D$33</f>
        <v>Other Professional</v>
      </c>
      <c r="L42" s="591"/>
      <c r="M42" s="591"/>
      <c r="N42" s="569" t="s">
        <v>2</v>
      </c>
      <c r="O42" s="571" t="s">
        <v>198</v>
      </c>
      <c r="P42" s="571" t="s">
        <v>199</v>
      </c>
      <c r="Q42" s="569" t="s">
        <v>2</v>
      </c>
      <c r="R42" s="571" t="s">
        <v>198</v>
      </c>
      <c r="S42" s="571" t="s">
        <v>199</v>
      </c>
      <c r="T42" s="569" t="s">
        <v>2</v>
      </c>
      <c r="U42" s="571" t="s">
        <v>198</v>
      </c>
      <c r="V42" s="571" t="s">
        <v>199</v>
      </c>
      <c r="W42" s="569" t="s">
        <v>2</v>
      </c>
      <c r="X42" s="571" t="s">
        <v>198</v>
      </c>
      <c r="Y42" s="571" t="s">
        <v>199</v>
      </c>
      <c r="Z42" s="569" t="s">
        <v>2</v>
      </c>
      <c r="AA42" s="571" t="s">
        <v>198</v>
      </c>
      <c r="AB42" s="571" t="s">
        <v>199</v>
      </c>
      <c r="AC42" s="569" t="s">
        <v>2</v>
      </c>
      <c r="AD42" s="571" t="s">
        <v>198</v>
      </c>
      <c r="AE42" s="571" t="s">
        <v>199</v>
      </c>
    </row>
    <row r="43" spans="1:31">
      <c r="A43" s="64" t="str">
        <f>CONCATENATE('BP1'!$D$33," Fringe")</f>
        <v>Other Professional Fringe</v>
      </c>
      <c r="B43" s="418">
        <f>'BP1'!$L$33</f>
        <v>0</v>
      </c>
      <c r="C43" s="418">
        <f>'BP2'!$L$33</f>
        <v>0</v>
      </c>
      <c r="D43" s="418">
        <f>'BP3'!$L$33</f>
        <v>0</v>
      </c>
      <c r="E43" s="418">
        <f>'BP4'!$L$33</f>
        <v>0</v>
      </c>
      <c r="F43" s="419">
        <f>'BP5'!$L$33</f>
        <v>0</v>
      </c>
      <c r="G43" s="418">
        <f t="shared" si="0"/>
        <v>0</v>
      </c>
      <c r="I43" s="116" t="s">
        <v>219</v>
      </c>
      <c r="K43" s="591"/>
      <c r="L43" s="591"/>
      <c r="M43" s="591"/>
      <c r="N43" s="570">
        <f>'BP1'!H33</f>
        <v>0</v>
      </c>
      <c r="O43" s="572">
        <f>'BP1'!I33</f>
        <v>0</v>
      </c>
      <c r="P43" s="572">
        <f>'BP1'!J33</f>
        <v>0</v>
      </c>
      <c r="Q43" s="570">
        <f>'BP2'!H33</f>
        <v>0</v>
      </c>
      <c r="R43" s="572">
        <f>'BP2'!I33</f>
        <v>0</v>
      </c>
      <c r="S43" s="572">
        <f>'BP2'!J33</f>
        <v>0</v>
      </c>
      <c r="T43" s="570">
        <f>'BP3'!H33</f>
        <v>0</v>
      </c>
      <c r="U43" s="572">
        <f>'BP3'!I33</f>
        <v>0</v>
      </c>
      <c r="V43" s="572">
        <f>'BP3'!J33</f>
        <v>0</v>
      </c>
      <c r="W43" s="570">
        <f>'BP4'!H33</f>
        <v>0</v>
      </c>
      <c r="X43" s="572">
        <f>'BP4'!I33</f>
        <v>0</v>
      </c>
      <c r="Y43" s="572">
        <f>'BP4'!J33</f>
        <v>0</v>
      </c>
      <c r="Z43" s="570">
        <f>'BP5'!H33</f>
        <v>0</v>
      </c>
      <c r="AA43" s="572">
        <f>'BP5'!I33</f>
        <v>0</v>
      </c>
      <c r="AB43" s="572">
        <f>'BP5'!J33</f>
        <v>0</v>
      </c>
      <c r="AC43" s="570">
        <f>N43+Q43+T43+W43+Z43</f>
        <v>0</v>
      </c>
      <c r="AD43" s="572">
        <f>O43+R43+U43+X43+AA43</f>
        <v>0</v>
      </c>
      <c r="AE43" s="572">
        <f>P43+S43+V43+Y43+AB43</f>
        <v>0</v>
      </c>
    </row>
    <row r="44" spans="1:31" hidden="1">
      <c r="A44" s="64" t="str">
        <f>CONCATENATE('BP1'!$D$34," Salary")</f>
        <v>Other Professional Salary</v>
      </c>
      <c r="B44" s="418">
        <f>'BP1'!$K$34</f>
        <v>0</v>
      </c>
      <c r="C44" s="418">
        <f ca="1">'BP2'!$K$34</f>
        <v>0</v>
      </c>
      <c r="D44" s="418">
        <f ca="1">'BP3'!$K$34</f>
        <v>0</v>
      </c>
      <c r="E44" s="418">
        <f ca="1">'BP4'!$K$34</f>
        <v>0</v>
      </c>
      <c r="F44" s="419">
        <f ca="1">'BP5'!$K$34</f>
        <v>0</v>
      </c>
      <c r="G44" s="418">
        <f t="shared" ca="1" si="0"/>
        <v>0</v>
      </c>
      <c r="I44" s="116" t="s">
        <v>493</v>
      </c>
      <c r="K44" s="591" t="str">
        <f>'BP1'!$D$34</f>
        <v>Other Professional</v>
      </c>
      <c r="L44" s="591"/>
      <c r="M44" s="591"/>
      <c r="N44" s="569" t="s">
        <v>2</v>
      </c>
      <c r="O44" s="571" t="s">
        <v>198</v>
      </c>
      <c r="P44" s="571" t="s">
        <v>199</v>
      </c>
      <c r="Q44" s="569" t="s">
        <v>2</v>
      </c>
      <c r="R44" s="571" t="s">
        <v>198</v>
      </c>
      <c r="S44" s="571" t="s">
        <v>199</v>
      </c>
      <c r="T44" s="569" t="s">
        <v>2</v>
      </c>
      <c r="U44" s="571" t="s">
        <v>198</v>
      </c>
      <c r="V44" s="571" t="s">
        <v>199</v>
      </c>
      <c r="W44" s="569" t="s">
        <v>2</v>
      </c>
      <c r="X44" s="571" t="s">
        <v>198</v>
      </c>
      <c r="Y44" s="571" t="s">
        <v>199</v>
      </c>
      <c r="Z44" s="569" t="s">
        <v>2</v>
      </c>
      <c r="AA44" s="571" t="s">
        <v>198</v>
      </c>
      <c r="AB44" s="571" t="s">
        <v>199</v>
      </c>
      <c r="AC44" s="569" t="s">
        <v>2</v>
      </c>
      <c r="AD44" s="571" t="s">
        <v>198</v>
      </c>
      <c r="AE44" s="571" t="s">
        <v>199</v>
      </c>
    </row>
    <row r="45" spans="1:31" hidden="1">
      <c r="A45" s="64" t="str">
        <f>CONCATENATE('BP1'!$D$34," Fringe")</f>
        <v>Other Professional Fringe</v>
      </c>
      <c r="B45" s="418">
        <f>'BP1'!$L$34</f>
        <v>0</v>
      </c>
      <c r="C45" s="418">
        <f>'BP2'!$L$34</f>
        <v>0</v>
      </c>
      <c r="D45" s="418">
        <f>'BP3'!$L$34</f>
        <v>0</v>
      </c>
      <c r="E45" s="418">
        <f>'BP4'!$L$34</f>
        <v>0</v>
      </c>
      <c r="F45" s="419">
        <f>'BP5'!$L$34</f>
        <v>0</v>
      </c>
      <c r="G45" s="418">
        <f t="shared" si="0"/>
        <v>0</v>
      </c>
      <c r="I45" s="116" t="s">
        <v>493</v>
      </c>
      <c r="K45" s="591"/>
      <c r="L45" s="591"/>
      <c r="M45" s="591"/>
      <c r="N45" s="570">
        <f>'BP1'!H34</f>
        <v>0</v>
      </c>
      <c r="O45" s="572">
        <f>'BP1'!I34</f>
        <v>0</v>
      </c>
      <c r="P45" s="572">
        <f>'BP1'!J34</f>
        <v>0</v>
      </c>
      <c r="Q45" s="570">
        <f>'BP2'!H34</f>
        <v>0</v>
      </c>
      <c r="R45" s="572">
        <f>'BP2'!I34</f>
        <v>0</v>
      </c>
      <c r="S45" s="572">
        <f>'BP2'!J34</f>
        <v>0</v>
      </c>
      <c r="T45" s="570">
        <f>'BP3'!H34</f>
        <v>0</v>
      </c>
      <c r="U45" s="572">
        <f>'BP3'!I34</f>
        <v>0</v>
      </c>
      <c r="V45" s="572">
        <f>'BP3'!J34</f>
        <v>0</v>
      </c>
      <c r="W45" s="570">
        <f>'BP4'!H34</f>
        <v>0</v>
      </c>
      <c r="X45" s="572">
        <f>'BP4'!I34</f>
        <v>0</v>
      </c>
      <c r="Y45" s="572">
        <f>'BP4'!J34</f>
        <v>0</v>
      </c>
      <c r="Z45" s="570">
        <f>'BP5'!H34</f>
        <v>0</v>
      </c>
      <c r="AA45" s="572">
        <f>'BP5'!I34</f>
        <v>0</v>
      </c>
      <c r="AB45" s="572">
        <f>'BP5'!J34</f>
        <v>0</v>
      </c>
      <c r="AC45" s="570">
        <f>N45+Q45+T45+W45+Z45</f>
        <v>0</v>
      </c>
      <c r="AD45" s="572">
        <f>O45+R45+U45+X45+AA45</f>
        <v>0</v>
      </c>
      <c r="AE45" s="572">
        <f>P45+S45+V45+Y45+AB45</f>
        <v>0</v>
      </c>
    </row>
    <row r="46" spans="1:31" hidden="1">
      <c r="A46" s="64" t="str">
        <f>CONCATENATE('BP1'!$D$35," Salary")</f>
        <v>Other Professional Salary</v>
      </c>
      <c r="B46" s="418">
        <f>'BP1'!$K$35</f>
        <v>0</v>
      </c>
      <c r="C46" s="418">
        <f ca="1">'BP2'!$K$35</f>
        <v>0</v>
      </c>
      <c r="D46" s="418">
        <f ca="1">'BP3'!$K$35</f>
        <v>0</v>
      </c>
      <c r="E46" s="418">
        <f ca="1">'BP4'!$K$35</f>
        <v>0</v>
      </c>
      <c r="F46" s="419">
        <f ca="1">'BP5'!$K$35</f>
        <v>0</v>
      </c>
      <c r="G46" s="418">
        <f t="shared" ca="1" si="0"/>
        <v>0</v>
      </c>
      <c r="I46" s="116" t="s">
        <v>493</v>
      </c>
      <c r="K46" s="591" t="str">
        <f>'BP1'!$D$35</f>
        <v>Other Professional</v>
      </c>
      <c r="L46" s="591"/>
      <c r="M46" s="591"/>
      <c r="N46" s="569" t="s">
        <v>2</v>
      </c>
      <c r="O46" s="571" t="s">
        <v>198</v>
      </c>
      <c r="P46" s="571" t="s">
        <v>199</v>
      </c>
      <c r="Q46" s="569" t="s">
        <v>2</v>
      </c>
      <c r="R46" s="571" t="s">
        <v>198</v>
      </c>
      <c r="S46" s="571" t="s">
        <v>199</v>
      </c>
      <c r="T46" s="569" t="s">
        <v>2</v>
      </c>
      <c r="U46" s="571" t="s">
        <v>198</v>
      </c>
      <c r="V46" s="571" t="s">
        <v>199</v>
      </c>
      <c r="W46" s="569" t="s">
        <v>2</v>
      </c>
      <c r="X46" s="571" t="s">
        <v>198</v>
      </c>
      <c r="Y46" s="571" t="s">
        <v>199</v>
      </c>
      <c r="Z46" s="569" t="s">
        <v>2</v>
      </c>
      <c r="AA46" s="571" t="s">
        <v>198</v>
      </c>
      <c r="AB46" s="571" t="s">
        <v>199</v>
      </c>
      <c r="AC46" s="569" t="s">
        <v>2</v>
      </c>
      <c r="AD46" s="571" t="s">
        <v>198</v>
      </c>
      <c r="AE46" s="571" t="s">
        <v>199</v>
      </c>
    </row>
    <row r="47" spans="1:31" hidden="1">
      <c r="A47" s="64" t="str">
        <f>CONCATENATE('BP1'!$D$35," Fringe")</f>
        <v>Other Professional Fringe</v>
      </c>
      <c r="B47" s="418">
        <f>'BP1'!$L$35</f>
        <v>0</v>
      </c>
      <c r="C47" s="418">
        <f>'BP2'!$L$35</f>
        <v>0</v>
      </c>
      <c r="D47" s="418">
        <f>'BP3'!$L$35</f>
        <v>0</v>
      </c>
      <c r="E47" s="418">
        <f>'BP4'!$L$35</f>
        <v>0</v>
      </c>
      <c r="F47" s="419">
        <f>'BP5'!$L$35</f>
        <v>0</v>
      </c>
      <c r="G47" s="418">
        <f t="shared" si="0"/>
        <v>0</v>
      </c>
      <c r="I47" s="116" t="s">
        <v>493</v>
      </c>
      <c r="K47" s="591"/>
      <c r="L47" s="591"/>
      <c r="M47" s="591"/>
      <c r="N47" s="570">
        <f>'BP1'!H35</f>
        <v>0</v>
      </c>
      <c r="O47" s="572">
        <f>'BP1'!I35</f>
        <v>0</v>
      </c>
      <c r="P47" s="572">
        <f>'BP1'!J35</f>
        <v>0</v>
      </c>
      <c r="Q47" s="570">
        <f>'BP2'!H35</f>
        <v>0</v>
      </c>
      <c r="R47" s="572">
        <f>'BP2'!I35</f>
        <v>0</v>
      </c>
      <c r="S47" s="572">
        <f>'BP2'!J35</f>
        <v>0</v>
      </c>
      <c r="T47" s="570">
        <f>'BP3'!H35</f>
        <v>0</v>
      </c>
      <c r="U47" s="572">
        <f>'BP3'!I35</f>
        <v>0</v>
      </c>
      <c r="V47" s="572">
        <f>'BP3'!J35</f>
        <v>0</v>
      </c>
      <c r="W47" s="570">
        <f>'BP4'!H35</f>
        <v>0</v>
      </c>
      <c r="X47" s="572">
        <f>'BP4'!I35</f>
        <v>0</v>
      </c>
      <c r="Y47" s="572">
        <f>'BP4'!J35</f>
        <v>0</v>
      </c>
      <c r="Z47" s="570">
        <f>'BP5'!H35</f>
        <v>0</v>
      </c>
      <c r="AA47" s="572">
        <f>'BP5'!I35</f>
        <v>0</v>
      </c>
      <c r="AB47" s="572">
        <f>'BP5'!J35</f>
        <v>0</v>
      </c>
      <c r="AC47" s="570">
        <f>N47+Q47+T47+W47+Z47</f>
        <v>0</v>
      </c>
      <c r="AD47" s="572">
        <f>O47+R47+U47+X47+AA47</f>
        <v>0</v>
      </c>
      <c r="AE47" s="572">
        <f>P47+S47+V47+Y47+AB47</f>
        <v>0</v>
      </c>
    </row>
    <row r="48" spans="1:31" hidden="1">
      <c r="A48" s="64" t="str">
        <f>CONCATENATE('BP1'!$D$36," Salary")</f>
        <v>Other Professional Salary</v>
      </c>
      <c r="B48" s="418">
        <f>'BP1'!$K$36</f>
        <v>0</v>
      </c>
      <c r="C48" s="418">
        <f ca="1">'BP2'!$K$36</f>
        <v>0</v>
      </c>
      <c r="D48" s="418">
        <f ca="1">'BP3'!$K$36</f>
        <v>0</v>
      </c>
      <c r="E48" s="418">
        <f ca="1">'BP4'!$K$36</f>
        <v>0</v>
      </c>
      <c r="F48" s="419">
        <f ca="1">'BP5'!$K$36</f>
        <v>0</v>
      </c>
      <c r="G48" s="418">
        <f t="shared" ca="1" si="0"/>
        <v>0</v>
      </c>
      <c r="I48" s="116" t="s">
        <v>493</v>
      </c>
      <c r="K48" s="591" t="str">
        <f>'BP1'!$D$36</f>
        <v>Other Professional</v>
      </c>
      <c r="L48" s="591"/>
      <c r="M48" s="591"/>
      <c r="N48" s="569" t="s">
        <v>2</v>
      </c>
      <c r="O48" s="571" t="s">
        <v>198</v>
      </c>
      <c r="P48" s="571" t="s">
        <v>199</v>
      </c>
      <c r="Q48" s="569" t="s">
        <v>2</v>
      </c>
      <c r="R48" s="571" t="s">
        <v>198</v>
      </c>
      <c r="S48" s="571" t="s">
        <v>199</v>
      </c>
      <c r="T48" s="569" t="s">
        <v>2</v>
      </c>
      <c r="U48" s="571" t="s">
        <v>198</v>
      </c>
      <c r="V48" s="571" t="s">
        <v>199</v>
      </c>
      <c r="W48" s="569" t="s">
        <v>2</v>
      </c>
      <c r="X48" s="571" t="s">
        <v>198</v>
      </c>
      <c r="Y48" s="571" t="s">
        <v>199</v>
      </c>
      <c r="Z48" s="569" t="s">
        <v>2</v>
      </c>
      <c r="AA48" s="571" t="s">
        <v>198</v>
      </c>
      <c r="AB48" s="571" t="s">
        <v>199</v>
      </c>
      <c r="AC48" s="569" t="s">
        <v>2</v>
      </c>
      <c r="AD48" s="571" t="s">
        <v>198</v>
      </c>
      <c r="AE48" s="571" t="s">
        <v>199</v>
      </c>
    </row>
    <row r="49" spans="1:31" hidden="1">
      <c r="A49" s="64" t="str">
        <f>CONCATENATE('BP1'!$D$36," Fringe")</f>
        <v>Other Professional Fringe</v>
      </c>
      <c r="B49" s="418">
        <f>'BP1'!$L$36</f>
        <v>0</v>
      </c>
      <c r="C49" s="418">
        <f>'BP2'!$L$36</f>
        <v>0</v>
      </c>
      <c r="D49" s="418">
        <f>'BP3'!$L$36</f>
        <v>0</v>
      </c>
      <c r="E49" s="418">
        <f>'BP4'!$L$36</f>
        <v>0</v>
      </c>
      <c r="F49" s="419">
        <f>'BP5'!$L$36</f>
        <v>0</v>
      </c>
      <c r="G49" s="418">
        <f t="shared" si="0"/>
        <v>0</v>
      </c>
      <c r="I49" s="116" t="s">
        <v>493</v>
      </c>
      <c r="K49" s="591"/>
      <c r="L49" s="591"/>
      <c r="M49" s="591"/>
      <c r="N49" s="570">
        <f>'BP1'!H36</f>
        <v>0</v>
      </c>
      <c r="O49" s="572">
        <f>'BP1'!I36</f>
        <v>0</v>
      </c>
      <c r="P49" s="572">
        <f>'BP1'!J36</f>
        <v>0</v>
      </c>
      <c r="Q49" s="570">
        <f>'BP2'!H36</f>
        <v>0</v>
      </c>
      <c r="R49" s="572">
        <f>'BP2'!I36</f>
        <v>0</v>
      </c>
      <c r="S49" s="572">
        <f>'BP2'!J36</f>
        <v>0</v>
      </c>
      <c r="T49" s="570">
        <f>'BP3'!H36</f>
        <v>0</v>
      </c>
      <c r="U49" s="572">
        <f>'BP3'!I36</f>
        <v>0</v>
      </c>
      <c r="V49" s="572">
        <f>'BP3'!J36</f>
        <v>0</v>
      </c>
      <c r="W49" s="570">
        <f>'BP4'!H36</f>
        <v>0</v>
      </c>
      <c r="X49" s="572">
        <f>'BP4'!I36</f>
        <v>0</v>
      </c>
      <c r="Y49" s="572">
        <f>'BP4'!J36</f>
        <v>0</v>
      </c>
      <c r="Z49" s="570">
        <f>'BP5'!H36</f>
        <v>0</v>
      </c>
      <c r="AA49" s="572">
        <f>'BP5'!I36</f>
        <v>0</v>
      </c>
      <c r="AB49" s="572">
        <f>'BP5'!J36</f>
        <v>0</v>
      </c>
      <c r="AC49" s="570">
        <f>N49+Q49+T49+W49+Z49</f>
        <v>0</v>
      </c>
      <c r="AD49" s="572">
        <f>O49+R49+U49+X49+AA49</f>
        <v>0</v>
      </c>
      <c r="AE49" s="572">
        <f>P49+S49+V49+Y49+AB49</f>
        <v>0</v>
      </c>
    </row>
    <row r="50" spans="1:31" hidden="1">
      <c r="A50" s="64" t="str">
        <f>CONCATENATE('BP1'!$D$37," Salary")</f>
        <v>Other Professional Salary</v>
      </c>
      <c r="B50" s="418">
        <f>'BP1'!$K$37</f>
        <v>0</v>
      </c>
      <c r="C50" s="418">
        <f ca="1">'BP2'!$K$37</f>
        <v>0</v>
      </c>
      <c r="D50" s="418">
        <f ca="1">'BP3'!$K$37</f>
        <v>0</v>
      </c>
      <c r="E50" s="418">
        <f ca="1">'BP4'!$K$37</f>
        <v>0</v>
      </c>
      <c r="F50" s="419">
        <f ca="1">'BP5'!$K$37</f>
        <v>0</v>
      </c>
      <c r="G50" s="418">
        <f t="shared" ca="1" si="0"/>
        <v>0</v>
      </c>
      <c r="I50" s="116" t="s">
        <v>493</v>
      </c>
      <c r="K50" s="591" t="str">
        <f>'BP1'!$D$37</f>
        <v>Other Professional</v>
      </c>
      <c r="L50" s="591"/>
      <c r="M50" s="591"/>
      <c r="N50" s="569" t="s">
        <v>2</v>
      </c>
      <c r="O50" s="571" t="s">
        <v>198</v>
      </c>
      <c r="P50" s="571" t="s">
        <v>199</v>
      </c>
      <c r="Q50" s="569" t="s">
        <v>2</v>
      </c>
      <c r="R50" s="571" t="s">
        <v>198</v>
      </c>
      <c r="S50" s="571" t="s">
        <v>199</v>
      </c>
      <c r="T50" s="569" t="s">
        <v>2</v>
      </c>
      <c r="U50" s="571" t="s">
        <v>198</v>
      </c>
      <c r="V50" s="571" t="s">
        <v>199</v>
      </c>
      <c r="W50" s="569" t="s">
        <v>2</v>
      </c>
      <c r="X50" s="571" t="s">
        <v>198</v>
      </c>
      <c r="Y50" s="571" t="s">
        <v>199</v>
      </c>
      <c r="Z50" s="569" t="s">
        <v>2</v>
      </c>
      <c r="AA50" s="571" t="s">
        <v>198</v>
      </c>
      <c r="AB50" s="571" t="s">
        <v>199</v>
      </c>
      <c r="AC50" s="569" t="s">
        <v>2</v>
      </c>
      <c r="AD50" s="571" t="s">
        <v>198</v>
      </c>
      <c r="AE50" s="571" t="s">
        <v>199</v>
      </c>
    </row>
    <row r="51" spans="1:31" hidden="1">
      <c r="A51" s="64" t="str">
        <f>CONCATENATE('BP1'!$D$37," Fringe")</f>
        <v>Other Professional Fringe</v>
      </c>
      <c r="B51" s="418">
        <f>'BP1'!$L$37</f>
        <v>0</v>
      </c>
      <c r="C51" s="418">
        <f>'BP2'!$L$37</f>
        <v>0</v>
      </c>
      <c r="D51" s="418">
        <f>'BP3'!$L$37</f>
        <v>0</v>
      </c>
      <c r="E51" s="418">
        <f>'BP4'!$L$37</f>
        <v>0</v>
      </c>
      <c r="F51" s="419">
        <f>'BP5'!$L$37</f>
        <v>0</v>
      </c>
      <c r="G51" s="418">
        <f t="shared" si="0"/>
        <v>0</v>
      </c>
      <c r="I51" s="116" t="s">
        <v>493</v>
      </c>
      <c r="K51" s="591"/>
      <c r="L51" s="591"/>
      <c r="M51" s="591"/>
      <c r="N51" s="570">
        <f>'BP1'!H37</f>
        <v>0</v>
      </c>
      <c r="O51" s="572">
        <f>'BP1'!I37</f>
        <v>0</v>
      </c>
      <c r="P51" s="572">
        <f>'BP1'!J37</f>
        <v>0</v>
      </c>
      <c r="Q51" s="570">
        <f>'BP2'!H37</f>
        <v>0</v>
      </c>
      <c r="R51" s="572">
        <f>'BP2'!I37</f>
        <v>0</v>
      </c>
      <c r="S51" s="572">
        <f>'BP2'!J37</f>
        <v>0</v>
      </c>
      <c r="T51" s="570">
        <f>'BP3'!H37</f>
        <v>0</v>
      </c>
      <c r="U51" s="572">
        <f>'BP3'!I37</f>
        <v>0</v>
      </c>
      <c r="V51" s="572">
        <f>'BP3'!J37</f>
        <v>0</v>
      </c>
      <c r="W51" s="570">
        <f>'BP4'!H37</f>
        <v>0</v>
      </c>
      <c r="X51" s="572">
        <f>'BP4'!I37</f>
        <v>0</v>
      </c>
      <c r="Y51" s="572">
        <f>'BP4'!J37</f>
        <v>0</v>
      </c>
      <c r="Z51" s="570">
        <f>'BP5'!H37</f>
        <v>0</v>
      </c>
      <c r="AA51" s="572">
        <f>'BP5'!I37</f>
        <v>0</v>
      </c>
      <c r="AB51" s="572">
        <f>'BP5'!J37</f>
        <v>0</v>
      </c>
      <c r="AC51" s="570">
        <f>N51+Q51+T51+W51+Z51</f>
        <v>0</v>
      </c>
      <c r="AD51" s="572">
        <f>O51+R51+U51+X51+AA51</f>
        <v>0</v>
      </c>
      <c r="AE51" s="572">
        <f>P51+S51+V51+Y51+AB51</f>
        <v>0</v>
      </c>
    </row>
    <row r="52" spans="1:31">
      <c r="A52" s="64" t="str">
        <f>CONCATENATE('BP1'!$D$38," Salary")</f>
        <v>Graduate Student Salary</v>
      </c>
      <c r="B52" s="418">
        <f>'BP1'!$K$38</f>
        <v>0</v>
      </c>
      <c r="C52" s="418">
        <f ca="1">'BP2'!$K$38</f>
        <v>0</v>
      </c>
      <c r="D52" s="418">
        <f ca="1">'BP3'!$K$38</f>
        <v>0</v>
      </c>
      <c r="E52" s="418">
        <f ca="1">'BP4'!$K$38</f>
        <v>0</v>
      </c>
      <c r="F52" s="419">
        <f ca="1">'BP5'!$K$38</f>
        <v>0</v>
      </c>
      <c r="G52" s="418">
        <f t="shared" ca="1" si="0"/>
        <v>0</v>
      </c>
      <c r="I52" s="116" t="s">
        <v>219</v>
      </c>
      <c r="K52" s="591" t="str">
        <f>'BP1'!$D$38</f>
        <v>Graduate Student</v>
      </c>
      <c r="L52" s="591"/>
      <c r="M52" s="591"/>
      <c r="N52" s="569" t="s">
        <v>2</v>
      </c>
      <c r="O52" s="571" t="s">
        <v>198</v>
      </c>
      <c r="P52" s="571" t="s">
        <v>199</v>
      </c>
      <c r="Q52" s="569" t="s">
        <v>2</v>
      </c>
      <c r="R52" s="571" t="s">
        <v>198</v>
      </c>
      <c r="S52" s="571" t="s">
        <v>199</v>
      </c>
      <c r="T52" s="569" t="s">
        <v>2</v>
      </c>
      <c r="U52" s="571" t="s">
        <v>198</v>
      </c>
      <c r="V52" s="571" t="s">
        <v>199</v>
      </c>
      <c r="W52" s="569" t="s">
        <v>2</v>
      </c>
      <c r="X52" s="571" t="s">
        <v>198</v>
      </c>
      <c r="Y52" s="571" t="s">
        <v>199</v>
      </c>
      <c r="Z52" s="569" t="s">
        <v>2</v>
      </c>
      <c r="AA52" s="571" t="s">
        <v>198</v>
      </c>
      <c r="AB52" s="571" t="s">
        <v>199</v>
      </c>
      <c r="AC52" s="569" t="s">
        <v>2</v>
      </c>
      <c r="AD52" s="571" t="s">
        <v>198</v>
      </c>
      <c r="AE52" s="571" t="s">
        <v>199</v>
      </c>
    </row>
    <row r="53" spans="1:31">
      <c r="A53" s="64" t="str">
        <f>CONCATENATE('BP1'!$D$38," Fringe")</f>
        <v>Graduate Student Fringe</v>
      </c>
      <c r="B53" s="418">
        <f>'BP1'!$L$38</f>
        <v>0</v>
      </c>
      <c r="C53" s="418">
        <f>'BP2'!$L$38</f>
        <v>0</v>
      </c>
      <c r="D53" s="418">
        <f>'BP3'!$L$38</f>
        <v>0</v>
      </c>
      <c r="E53" s="418">
        <f>'BP4'!$L$38</f>
        <v>0</v>
      </c>
      <c r="F53" s="419">
        <f>'BP5'!$L$38</f>
        <v>0</v>
      </c>
      <c r="G53" s="418">
        <f t="shared" si="0"/>
        <v>0</v>
      </c>
      <c r="I53" s="116" t="s">
        <v>219</v>
      </c>
      <c r="K53" s="591"/>
      <c r="L53" s="591"/>
      <c r="M53" s="591"/>
      <c r="N53" s="570">
        <f>'BP1'!H38</f>
        <v>0</v>
      </c>
      <c r="O53" s="572">
        <f>'BP1'!I38</f>
        <v>0</v>
      </c>
      <c r="P53" s="572">
        <f>'BP1'!J38</f>
        <v>0</v>
      </c>
      <c r="Q53" s="570">
        <f>'BP2'!H38</f>
        <v>0</v>
      </c>
      <c r="R53" s="572">
        <f>'BP2'!I38</f>
        <v>0</v>
      </c>
      <c r="S53" s="572">
        <f>'BP2'!J38</f>
        <v>0</v>
      </c>
      <c r="T53" s="570">
        <f>'BP3'!H38</f>
        <v>0</v>
      </c>
      <c r="U53" s="572">
        <f>'BP3'!I38</f>
        <v>0</v>
      </c>
      <c r="V53" s="572">
        <f>'BP3'!J38</f>
        <v>0</v>
      </c>
      <c r="W53" s="570">
        <f>'BP4'!H38</f>
        <v>0</v>
      </c>
      <c r="X53" s="572">
        <f>'BP4'!I38</f>
        <v>0</v>
      </c>
      <c r="Y53" s="572">
        <f>'BP4'!J38</f>
        <v>0</v>
      </c>
      <c r="Z53" s="570">
        <f>'BP5'!H38</f>
        <v>0</v>
      </c>
      <c r="AA53" s="572">
        <f>'BP5'!I38</f>
        <v>0</v>
      </c>
      <c r="AB53" s="572">
        <f>'BP5'!J38</f>
        <v>0</v>
      </c>
      <c r="AC53" s="570">
        <f>N53+Q53+T53+W53+Z53</f>
        <v>0</v>
      </c>
      <c r="AD53" s="572">
        <f>O53+R53+U53+X53+AA53</f>
        <v>0</v>
      </c>
      <c r="AE53" s="572">
        <f>P53+S53+V53+Y53+AB53</f>
        <v>0</v>
      </c>
    </row>
    <row r="54" spans="1:31" ht="15.75" customHeight="1">
      <c r="A54" s="64" t="str">
        <f>CONCATENATE('BP1'!$D$39," Salary")</f>
        <v>Undergraduate Student Salary</v>
      </c>
      <c r="B54" s="418">
        <f>'BP1'!$K$39</f>
        <v>0</v>
      </c>
      <c r="C54" s="418">
        <f ca="1">'BP2'!$K$39</f>
        <v>0</v>
      </c>
      <c r="D54" s="418">
        <f ca="1">'BP3'!$K$39</f>
        <v>0</v>
      </c>
      <c r="E54" s="418">
        <f ca="1">'BP4'!$K$39</f>
        <v>0</v>
      </c>
      <c r="F54" s="419">
        <f ca="1">'BP5'!$K$39</f>
        <v>0</v>
      </c>
      <c r="G54" s="418">
        <f t="shared" ca="1" si="0"/>
        <v>0</v>
      </c>
      <c r="I54" s="116" t="s">
        <v>219</v>
      </c>
      <c r="K54" s="592" t="str">
        <f>'BP1'!$D$39</f>
        <v>Undergraduate Student</v>
      </c>
      <c r="L54" s="593"/>
      <c r="M54" s="594"/>
      <c r="N54" s="569" t="s">
        <v>2</v>
      </c>
      <c r="O54" s="571" t="s">
        <v>198</v>
      </c>
      <c r="P54" s="571" t="s">
        <v>199</v>
      </c>
      <c r="Q54" s="569" t="s">
        <v>2</v>
      </c>
      <c r="R54" s="571" t="s">
        <v>198</v>
      </c>
      <c r="S54" s="571" t="s">
        <v>199</v>
      </c>
      <c r="T54" s="569" t="s">
        <v>2</v>
      </c>
      <c r="U54" s="571" t="s">
        <v>198</v>
      </c>
      <c r="V54" s="571" t="s">
        <v>199</v>
      </c>
      <c r="W54" s="569" t="s">
        <v>2</v>
      </c>
      <c r="X54" s="571" t="s">
        <v>198</v>
      </c>
      <c r="Y54" s="571" t="s">
        <v>199</v>
      </c>
      <c r="Z54" s="569" t="s">
        <v>2</v>
      </c>
      <c r="AA54" s="571" t="s">
        <v>198</v>
      </c>
      <c r="AB54" s="571" t="s">
        <v>199</v>
      </c>
      <c r="AC54" s="569" t="s">
        <v>2</v>
      </c>
      <c r="AD54" s="571" t="s">
        <v>198</v>
      </c>
      <c r="AE54" s="571" t="s">
        <v>199</v>
      </c>
    </row>
    <row r="55" spans="1:31" ht="15.75" customHeight="1">
      <c r="A55" s="65" t="str">
        <f>CONCATENATE('BP1'!$D$39," Fringe")</f>
        <v>Undergraduate Student Fringe</v>
      </c>
      <c r="B55" s="1020"/>
      <c r="C55" s="1020"/>
      <c r="D55" s="1020"/>
      <c r="E55" s="1020"/>
      <c r="F55" s="1020"/>
      <c r="G55" s="1020"/>
      <c r="I55" s="116" t="s">
        <v>219</v>
      </c>
      <c r="K55" s="595"/>
      <c r="L55" s="596"/>
      <c r="M55" s="597"/>
      <c r="N55" s="570">
        <f>'BP1'!H39</f>
        <v>0</v>
      </c>
      <c r="O55" s="572">
        <f>'BP1'!I39</f>
        <v>0</v>
      </c>
      <c r="P55" s="572">
        <f>'BP1'!J39</f>
        <v>0</v>
      </c>
      <c r="Q55" s="570">
        <f>'BP2'!H39</f>
        <v>0</v>
      </c>
      <c r="R55" s="572">
        <f>'BP2'!I39</f>
        <v>0</v>
      </c>
      <c r="S55" s="572">
        <f>'BP2'!J39</f>
        <v>0</v>
      </c>
      <c r="T55" s="570">
        <f>'BP3'!H39</f>
        <v>0</v>
      </c>
      <c r="U55" s="572">
        <f>'BP3'!I39</f>
        <v>0</v>
      </c>
      <c r="V55" s="572">
        <f>'BP3'!J39</f>
        <v>0</v>
      </c>
      <c r="W55" s="570">
        <f>'BP4'!H39</f>
        <v>0</v>
      </c>
      <c r="X55" s="572">
        <f>'BP4'!I39</f>
        <v>0</v>
      </c>
      <c r="Y55" s="572">
        <f>'BP4'!J39</f>
        <v>0</v>
      </c>
      <c r="Z55" s="570">
        <f>'BP5'!H39</f>
        <v>0</v>
      </c>
      <c r="AA55" s="572">
        <f>'BP5'!I39</f>
        <v>0</v>
      </c>
      <c r="AB55" s="572">
        <f>'BP5'!J39</f>
        <v>0</v>
      </c>
      <c r="AC55" s="570">
        <f>N55+Q55+T55+W55+Z55</f>
        <v>0</v>
      </c>
      <c r="AD55" s="572">
        <f>O55+R55+U55+X55+AA55</f>
        <v>0</v>
      </c>
      <c r="AE55" s="572">
        <f>P55+S55+V55+Y55+AB55</f>
        <v>0</v>
      </c>
    </row>
    <row r="56" spans="1:31">
      <c r="A56" s="64" t="str">
        <f>CONCATENATE('BP1'!$D$40," Salary")</f>
        <v>Other (Carrying Statutory Benefits) Salary</v>
      </c>
      <c r="B56" s="418">
        <f>'BP1'!$K$40</f>
        <v>0</v>
      </c>
      <c r="C56" s="418">
        <f ca="1">'BP2'!$K$40</f>
        <v>0</v>
      </c>
      <c r="D56" s="418">
        <f ca="1">'BP3'!$K$40</f>
        <v>0</v>
      </c>
      <c r="E56" s="418">
        <f ca="1">'BP4'!$K$40</f>
        <v>0</v>
      </c>
      <c r="F56" s="419">
        <f ca="1">'BP5'!$K$40</f>
        <v>0</v>
      </c>
      <c r="G56" s="418">
        <f t="shared" ca="1" si="0"/>
        <v>0</v>
      </c>
      <c r="I56" s="116" t="s">
        <v>219</v>
      </c>
      <c r="K56" s="591" t="str">
        <f>'BP1'!$D$40</f>
        <v>Other (Carrying Statutory Benefits)</v>
      </c>
      <c r="L56" s="591"/>
      <c r="M56" s="591"/>
      <c r="N56" s="569" t="s">
        <v>2</v>
      </c>
      <c r="O56" s="571" t="s">
        <v>198</v>
      </c>
      <c r="P56" s="571" t="s">
        <v>199</v>
      </c>
      <c r="Q56" s="569" t="s">
        <v>2</v>
      </c>
      <c r="R56" s="571" t="s">
        <v>198</v>
      </c>
      <c r="S56" s="571" t="s">
        <v>199</v>
      </c>
      <c r="T56" s="569" t="s">
        <v>2</v>
      </c>
      <c r="U56" s="571" t="s">
        <v>198</v>
      </c>
      <c r="V56" s="571" t="s">
        <v>199</v>
      </c>
      <c r="W56" s="569" t="s">
        <v>2</v>
      </c>
      <c r="X56" s="571" t="s">
        <v>198</v>
      </c>
      <c r="Y56" s="571" t="s">
        <v>199</v>
      </c>
      <c r="Z56" s="569" t="s">
        <v>2</v>
      </c>
      <c r="AA56" s="571" t="s">
        <v>198</v>
      </c>
      <c r="AB56" s="571" t="s">
        <v>199</v>
      </c>
      <c r="AC56" s="569" t="s">
        <v>2</v>
      </c>
      <c r="AD56" s="571" t="s">
        <v>198</v>
      </c>
      <c r="AE56" s="571" t="s">
        <v>199</v>
      </c>
    </row>
    <row r="57" spans="1:31">
      <c r="A57" s="65" t="str">
        <f>CONCATENATE('BP1'!$D$40," Fringe")</f>
        <v>Other (Carrying Statutory Benefits) Fringe</v>
      </c>
      <c r="B57" s="424">
        <f>'BP1'!$L$40</f>
        <v>0</v>
      </c>
      <c r="C57" s="424">
        <f>'BP2'!$L$40</f>
        <v>0</v>
      </c>
      <c r="D57" s="424">
        <f>'BP3'!$L$40</f>
        <v>0</v>
      </c>
      <c r="E57" s="424">
        <f>'BP4'!$L$40</f>
        <v>0</v>
      </c>
      <c r="F57" s="425">
        <f>'BP5'!$L$40</f>
        <v>0</v>
      </c>
      <c r="G57" s="424">
        <f t="shared" si="0"/>
        <v>0</v>
      </c>
      <c r="I57" s="116" t="s">
        <v>219</v>
      </c>
      <c r="K57" s="591"/>
      <c r="L57" s="591"/>
      <c r="M57" s="591"/>
      <c r="N57" s="570">
        <f>'BP1'!H40</f>
        <v>0</v>
      </c>
      <c r="O57" s="572">
        <f>'BP1'!I40</f>
        <v>0</v>
      </c>
      <c r="P57" s="572">
        <f>'BP1'!J40</f>
        <v>0</v>
      </c>
      <c r="Q57" s="570">
        <f>'BP2'!H40</f>
        <v>0</v>
      </c>
      <c r="R57" s="572">
        <f>'BP2'!I40</f>
        <v>0</v>
      </c>
      <c r="S57" s="572">
        <f>'BP2'!J40</f>
        <v>0</v>
      </c>
      <c r="T57" s="570">
        <f>'BP3'!H40</f>
        <v>0</v>
      </c>
      <c r="U57" s="572">
        <f>'BP3'!I40</f>
        <v>0</v>
      </c>
      <c r="V57" s="572">
        <f>'BP3'!J40</f>
        <v>0</v>
      </c>
      <c r="W57" s="570">
        <f>'BP4'!H40</f>
        <v>0</v>
      </c>
      <c r="X57" s="572">
        <f>'BP4'!I40</f>
        <v>0</v>
      </c>
      <c r="Y57" s="572">
        <f>'BP4'!J40</f>
        <v>0</v>
      </c>
      <c r="Z57" s="570">
        <f>'BP5'!H40</f>
        <v>0</v>
      </c>
      <c r="AA57" s="572">
        <f>'BP5'!I40</f>
        <v>0</v>
      </c>
      <c r="AB57" s="572">
        <f>'BP5'!J40</f>
        <v>0</v>
      </c>
      <c r="AC57" s="570">
        <f>N57+Q57+T57+W57+Z57</f>
        <v>0</v>
      </c>
      <c r="AD57" s="572">
        <f>O57+R57+U57+X57+AA57</f>
        <v>0</v>
      </c>
      <c r="AE57" s="572">
        <f>P57+S57+V57+Y57+AB57</f>
        <v>0</v>
      </c>
    </row>
    <row r="58" spans="1:31">
      <c r="A58" s="68" t="s">
        <v>90</v>
      </c>
      <c r="B58" s="426">
        <f>'BP1'!K41</f>
        <v>0</v>
      </c>
      <c r="C58" s="426">
        <f>'BP2'!K41</f>
        <v>0</v>
      </c>
      <c r="D58" s="426">
        <f>'BP3'!K41</f>
        <v>0</v>
      </c>
      <c r="E58" s="426">
        <f>'BP4'!K41</f>
        <v>0</v>
      </c>
      <c r="F58" s="427">
        <f>'BP5'!K41</f>
        <v>0</v>
      </c>
      <c r="G58" s="426">
        <f t="shared" si="0"/>
        <v>0</v>
      </c>
      <c r="I58" s="116" t="s">
        <v>219</v>
      </c>
    </row>
    <row r="59" spans="1:31">
      <c r="A59" s="63" t="s">
        <v>91</v>
      </c>
      <c r="B59" s="428">
        <f>'BP1'!K42</f>
        <v>0</v>
      </c>
      <c r="C59" s="428">
        <f>'BP2'!K42</f>
        <v>0</v>
      </c>
      <c r="D59" s="428">
        <f>'BP3'!K42</f>
        <v>0</v>
      </c>
      <c r="E59" s="428">
        <f>'BP4'!K42</f>
        <v>0</v>
      </c>
      <c r="F59" s="429">
        <f>'BP5'!K42</f>
        <v>0</v>
      </c>
      <c r="G59" s="428">
        <f t="shared" si="0"/>
        <v>0</v>
      </c>
      <c r="I59" s="116" t="s">
        <v>219</v>
      </c>
    </row>
    <row r="60" spans="1:31">
      <c r="A60" s="68" t="s">
        <v>100</v>
      </c>
      <c r="B60" s="426">
        <f>'BP1'!K43</f>
        <v>0</v>
      </c>
      <c r="C60" s="426">
        <f>'BP2'!K43</f>
        <v>0</v>
      </c>
      <c r="D60" s="426">
        <f>'BP3'!K43</f>
        <v>0</v>
      </c>
      <c r="E60" s="426">
        <f>'BP4'!K43</f>
        <v>0</v>
      </c>
      <c r="F60" s="427">
        <f>'BP5'!K43</f>
        <v>0</v>
      </c>
      <c r="G60" s="426">
        <f t="shared" si="0"/>
        <v>0</v>
      </c>
      <c r="I60" s="116" t="s">
        <v>219</v>
      </c>
    </row>
    <row r="61" spans="1:31">
      <c r="A61" s="62"/>
      <c r="B61" s="395"/>
      <c r="C61" s="395"/>
      <c r="D61" s="395"/>
      <c r="E61" s="395"/>
      <c r="F61" s="395"/>
      <c r="G61" s="395"/>
      <c r="I61" s="116" t="s">
        <v>219</v>
      </c>
    </row>
    <row r="62" spans="1:31">
      <c r="A62" s="64" t="str">
        <f>'BP1'!$A$44</f>
        <v>Capital Equipment</v>
      </c>
      <c r="B62" s="418">
        <f>'BP1'!K50</f>
        <v>0</v>
      </c>
      <c r="C62" s="418">
        <f>'BP2'!K50</f>
        <v>0</v>
      </c>
      <c r="D62" s="418">
        <f>'BP3'!K50</f>
        <v>0</v>
      </c>
      <c r="E62" s="418">
        <f>'BP4'!K50</f>
        <v>0</v>
      </c>
      <c r="F62" s="419">
        <f>'BP5'!K50</f>
        <v>0</v>
      </c>
      <c r="G62" s="418">
        <f t="shared" si="0"/>
        <v>0</v>
      </c>
      <c r="I62" s="116" t="s">
        <v>219</v>
      </c>
    </row>
    <row r="63" spans="1:31">
      <c r="A63" s="77" t="s">
        <v>148</v>
      </c>
      <c r="B63" s="430">
        <f>'BP1'!K50</f>
        <v>0</v>
      </c>
      <c r="C63" s="430">
        <f>'BP2'!K50</f>
        <v>0</v>
      </c>
      <c r="D63" s="430">
        <f>'BP3'!K50</f>
        <v>0</v>
      </c>
      <c r="E63" s="430">
        <f>'BP4'!K50</f>
        <v>0</v>
      </c>
      <c r="F63" s="430">
        <f>'BP5'!K50</f>
        <v>0</v>
      </c>
      <c r="G63" s="430">
        <f t="shared" si="0"/>
        <v>0</v>
      </c>
      <c r="I63" s="116" t="s">
        <v>219</v>
      </c>
    </row>
    <row r="64" spans="1:31">
      <c r="A64" s="76"/>
      <c r="B64" s="431"/>
      <c r="C64" s="431"/>
      <c r="D64" s="431"/>
      <c r="E64" s="431"/>
      <c r="F64" s="431"/>
      <c r="G64" s="431"/>
      <c r="I64" s="116" t="s">
        <v>219</v>
      </c>
    </row>
    <row r="65" spans="1:9">
      <c r="A65" s="64" t="str">
        <f>'BP1'!$H$51</f>
        <v>Domestic Travel</v>
      </c>
      <c r="B65" s="418">
        <f>'BP1'!K51</f>
        <v>0</v>
      </c>
      <c r="C65" s="418">
        <f>'BP2'!K51</f>
        <v>0</v>
      </c>
      <c r="D65" s="418">
        <f>'BP3'!K51</f>
        <v>0</v>
      </c>
      <c r="E65" s="418">
        <f>'BP4'!K51</f>
        <v>0</v>
      </c>
      <c r="F65" s="419">
        <f>'BP5'!K51</f>
        <v>0</v>
      </c>
      <c r="G65" s="418">
        <f t="shared" si="0"/>
        <v>0</v>
      </c>
      <c r="I65" s="116" t="s">
        <v>219</v>
      </c>
    </row>
    <row r="66" spans="1:9">
      <c r="A66" s="64" t="str">
        <f>'BP1'!$H$52</f>
        <v>Foreign Travel</v>
      </c>
      <c r="B66" s="418">
        <f>'BP1'!K52</f>
        <v>0</v>
      </c>
      <c r="C66" s="418">
        <f>'BP2'!K52</f>
        <v>0</v>
      </c>
      <c r="D66" s="418">
        <f>'BP3'!K52</f>
        <v>0</v>
      </c>
      <c r="E66" s="418">
        <f>'BP4'!K52</f>
        <v>0</v>
      </c>
      <c r="F66" s="419">
        <f>'BP5'!K52</f>
        <v>0</v>
      </c>
      <c r="G66" s="418">
        <f t="shared" si="0"/>
        <v>0</v>
      </c>
      <c r="I66" s="116" t="s">
        <v>219</v>
      </c>
    </row>
    <row r="67" spans="1:9">
      <c r="A67" s="77" t="str">
        <f>'BP1'!H53</f>
        <v>Total Travel</v>
      </c>
      <c r="B67" s="430">
        <f>'BP1'!K53</f>
        <v>0</v>
      </c>
      <c r="C67" s="430">
        <f>'BP2'!K53</f>
        <v>0</v>
      </c>
      <c r="D67" s="430">
        <f>'BP3'!K53</f>
        <v>0</v>
      </c>
      <c r="E67" s="430">
        <f>'BP4'!K53</f>
        <v>0</v>
      </c>
      <c r="F67" s="430">
        <f>'BP5'!K53</f>
        <v>0</v>
      </c>
      <c r="G67" s="430">
        <f t="shared" si="0"/>
        <v>0</v>
      </c>
      <c r="I67" s="116" t="s">
        <v>219</v>
      </c>
    </row>
    <row r="68" spans="1:9">
      <c r="A68" s="76"/>
      <c r="B68" s="431"/>
      <c r="C68" s="431"/>
      <c r="D68" s="431"/>
      <c r="E68" s="431"/>
      <c r="F68" s="431"/>
      <c r="G68" s="431"/>
      <c r="I68" s="116" t="s">
        <v>219</v>
      </c>
    </row>
    <row r="69" spans="1:9">
      <c r="A69" s="64" t="str">
        <f>'BP1'!$C$55</f>
        <v>Materials and Supplies</v>
      </c>
      <c r="B69" s="418">
        <f>'BP1'!K55</f>
        <v>0</v>
      </c>
      <c r="C69" s="418">
        <f>'BP2'!K55</f>
        <v>0</v>
      </c>
      <c r="D69" s="418">
        <f>'BP3'!K55</f>
        <v>0</v>
      </c>
      <c r="E69" s="418">
        <f>'BP4'!K55</f>
        <v>0</v>
      </c>
      <c r="F69" s="419">
        <f>'BP5'!K55</f>
        <v>0</v>
      </c>
      <c r="G69" s="418">
        <f t="shared" si="0"/>
        <v>0</v>
      </c>
      <c r="I69" s="116" t="s">
        <v>219</v>
      </c>
    </row>
    <row r="70" spans="1:9">
      <c r="A70" s="64" t="str">
        <f>'BP1'!$C$56</f>
        <v>Publication Costs</v>
      </c>
      <c r="B70" s="418">
        <f>'BP1'!K56</f>
        <v>0</v>
      </c>
      <c r="C70" s="418">
        <f>'BP2'!K56</f>
        <v>0</v>
      </c>
      <c r="D70" s="418">
        <f>'BP3'!K56</f>
        <v>0</v>
      </c>
      <c r="E70" s="418">
        <f>'BP4'!K56</f>
        <v>0</v>
      </c>
      <c r="F70" s="419">
        <f>'BP5'!K56</f>
        <v>0</v>
      </c>
      <c r="G70" s="418">
        <f t="shared" si="0"/>
        <v>0</v>
      </c>
      <c r="H70" s="62"/>
      <c r="I70" s="116" t="s">
        <v>219</v>
      </c>
    </row>
    <row r="71" spans="1:9">
      <c r="A71" s="64" t="str">
        <f>'BP1'!$C$57</f>
        <v>Consultant Services</v>
      </c>
      <c r="B71" s="418">
        <f>'BP1'!K57</f>
        <v>0</v>
      </c>
      <c r="C71" s="418">
        <f>'BP2'!K57</f>
        <v>0</v>
      </c>
      <c r="D71" s="418">
        <f>'BP3'!K57</f>
        <v>0</v>
      </c>
      <c r="E71" s="418">
        <f>'BP4'!K57</f>
        <v>0</v>
      </c>
      <c r="F71" s="419">
        <f>'BP5'!K57</f>
        <v>0</v>
      </c>
      <c r="G71" s="418">
        <f t="shared" si="0"/>
        <v>0</v>
      </c>
      <c r="I71" s="116" t="s">
        <v>219</v>
      </c>
    </row>
    <row r="72" spans="1:9">
      <c r="A72" s="64" t="str">
        <f>'BP1'!$C$58</f>
        <v>Computer Services</v>
      </c>
      <c r="B72" s="418">
        <f>'BP1'!K58</f>
        <v>0</v>
      </c>
      <c r="C72" s="418">
        <f>'BP2'!K58</f>
        <v>0</v>
      </c>
      <c r="D72" s="418">
        <f>'BP3'!K58</f>
        <v>0</v>
      </c>
      <c r="E72" s="418">
        <f>'BP4'!K58</f>
        <v>0</v>
      </c>
      <c r="F72" s="419">
        <f>'BP5'!K58</f>
        <v>0</v>
      </c>
      <c r="G72" s="418">
        <f t="shared" si="0"/>
        <v>0</v>
      </c>
      <c r="I72" s="116" t="s">
        <v>219</v>
      </c>
    </row>
    <row r="73" spans="1:9">
      <c r="A73" s="64" t="str">
        <f>'BP1'!$C$59</f>
        <v>Tuition</v>
      </c>
      <c r="B73" s="418">
        <f>'BP1'!K59</f>
        <v>0</v>
      </c>
      <c r="C73" s="418">
        <f>'BP2'!K59</f>
        <v>0</v>
      </c>
      <c r="D73" s="418">
        <f>'BP3'!K59</f>
        <v>0</v>
      </c>
      <c r="E73" s="418">
        <f>'BP4'!K59</f>
        <v>0</v>
      </c>
      <c r="F73" s="419">
        <f>'BP5'!K59</f>
        <v>0</v>
      </c>
      <c r="G73" s="418">
        <f t="shared" si="0"/>
        <v>0</v>
      </c>
      <c r="I73" s="116" t="s">
        <v>219</v>
      </c>
    </row>
    <row r="74" spans="1:9">
      <c r="A74" s="64" t="str">
        <f>'BP1'!$C$60</f>
        <v>MTDC Other</v>
      </c>
      <c r="B74" s="418">
        <f>'BP1'!K60</f>
        <v>0</v>
      </c>
      <c r="C74" s="418">
        <f>'BP2'!K60</f>
        <v>0</v>
      </c>
      <c r="D74" s="418">
        <f>'BP3'!K60</f>
        <v>0</v>
      </c>
      <c r="E74" s="418">
        <f>'BP4'!K60</f>
        <v>0</v>
      </c>
      <c r="F74" s="419">
        <f>'BP5'!K60</f>
        <v>0</v>
      </c>
      <c r="G74" s="418">
        <f t="shared" si="0"/>
        <v>0</v>
      </c>
      <c r="I74" s="116" t="s">
        <v>219</v>
      </c>
    </row>
    <row r="75" spans="1:9">
      <c r="A75" s="64" t="str">
        <f>'BP1'!$C$61</f>
        <v>Non-MTDC Other (no indirect costs)</v>
      </c>
      <c r="B75" s="418">
        <f>'BP1'!K61</f>
        <v>0</v>
      </c>
      <c r="C75" s="418">
        <f>'BP2'!K61</f>
        <v>0</v>
      </c>
      <c r="D75" s="418">
        <f>'BP3'!K61</f>
        <v>0</v>
      </c>
      <c r="E75" s="418">
        <f>'BP4'!K61</f>
        <v>0</v>
      </c>
      <c r="F75" s="419">
        <f>'BP5'!K61</f>
        <v>0</v>
      </c>
      <c r="G75" s="418">
        <f t="shared" si="0"/>
        <v>0</v>
      </c>
      <c r="I75" s="116" t="s">
        <v>219</v>
      </c>
    </row>
    <row r="76" spans="1:9" ht="15.75" customHeight="1">
      <c r="A76" s="64" t="str">
        <f>IF(G76&gt;0,"Subaward - "&amp;'Subaward Calculator'!B8,'BP1'!C62)</f>
        <v>Subaward I</v>
      </c>
      <c r="B76" s="418">
        <f>'BP1'!K62</f>
        <v>0</v>
      </c>
      <c r="C76" s="418">
        <f>IF('BP2'!K62="",0,'BP2'!K62)</f>
        <v>0</v>
      </c>
      <c r="D76" s="418">
        <f>IF('BP3'!K62="",0,'BP3'!K62)</f>
        <v>0</v>
      </c>
      <c r="E76" s="418">
        <f>IF('BP4'!K62="",0,'BP4'!K62)</f>
        <v>0</v>
      </c>
      <c r="F76" s="419">
        <f>IF('BP5'!K62="",0,'BP5'!K62)</f>
        <v>0</v>
      </c>
      <c r="G76" s="418">
        <f t="shared" si="0"/>
        <v>0</v>
      </c>
      <c r="I76" s="116" t="s">
        <v>219</v>
      </c>
    </row>
    <row r="77" spans="1:9" ht="15.75" hidden="1" customHeight="1">
      <c r="A77" s="64" t="str">
        <f>IF(G77&gt;0,"Subaward - "&amp;'Subaward Calculator'!B11,'BP1'!C63)</f>
        <v>Subaward II</v>
      </c>
      <c r="B77" s="418">
        <f>'BP1'!K63</f>
        <v>0</v>
      </c>
      <c r="C77" s="418">
        <f>IF('BP2'!K63="",0,'BP2'!K63)</f>
        <v>0</v>
      </c>
      <c r="D77" s="418">
        <f>IF('BP3'!K63="",0,'BP3'!K63)</f>
        <v>0</v>
      </c>
      <c r="E77" s="418">
        <f>IF('BP4'!K63="",0,'BP4'!K63)</f>
        <v>0</v>
      </c>
      <c r="F77" s="419">
        <f>IF('BP5'!K63="",0,'BP5'!K63)</f>
        <v>0</v>
      </c>
      <c r="G77" s="418">
        <f t="shared" si="0"/>
        <v>0</v>
      </c>
      <c r="I77" s="116" t="s">
        <v>221</v>
      </c>
    </row>
    <row r="78" spans="1:9" ht="15.75" hidden="1" customHeight="1">
      <c r="A78" s="64" t="str">
        <f>IF(G78&gt;0,"Subaward - "&amp;'Subaward Calculator'!B14,'BP1'!C64)</f>
        <v>Subaward III</v>
      </c>
      <c r="B78" s="418">
        <f>'BP1'!K64</f>
        <v>0</v>
      </c>
      <c r="C78" s="418">
        <f>IF('BP2'!K64="",0,'BP2'!K64)</f>
        <v>0</v>
      </c>
      <c r="D78" s="418">
        <f>IF('BP3'!K64="",0,'BP3'!K64)</f>
        <v>0</v>
      </c>
      <c r="E78" s="418">
        <f>IF('BP4'!K64="",0,'BP4'!K64)</f>
        <v>0</v>
      </c>
      <c r="F78" s="419">
        <f>IF('BP5'!K64="",0,'BP5'!K64)</f>
        <v>0</v>
      </c>
      <c r="G78" s="418">
        <f t="shared" si="0"/>
        <v>0</v>
      </c>
      <c r="I78" s="116" t="s">
        <v>221</v>
      </c>
    </row>
    <row r="79" spans="1:9" ht="15.75" hidden="1" customHeight="1">
      <c r="A79" s="64" t="str">
        <f>IF(G79&gt;0,"Subaward - "&amp;'Subaward Calculator'!B17,'BP1'!C65)</f>
        <v>Subaward IV</v>
      </c>
      <c r="B79" s="418">
        <f>'BP1'!K65</f>
        <v>0</v>
      </c>
      <c r="C79" s="418">
        <f>IF('BP2'!K65="",0,'BP2'!K65)</f>
        <v>0</v>
      </c>
      <c r="D79" s="418">
        <f>IF('BP3'!K65="",0,'BP3'!K65)</f>
        <v>0</v>
      </c>
      <c r="E79" s="418">
        <f>IF('BP4'!K65="",0,'BP4'!K65)</f>
        <v>0</v>
      </c>
      <c r="F79" s="419">
        <f>IF('BP5'!K65="",0,'BP5'!K65)</f>
        <v>0</v>
      </c>
      <c r="G79" s="418">
        <f t="shared" si="0"/>
        <v>0</v>
      </c>
      <c r="I79" s="116" t="s">
        <v>221</v>
      </c>
    </row>
    <row r="80" spans="1:9" ht="15.75" hidden="1" customHeight="1">
      <c r="A80" s="64" t="str">
        <f>IF(G80&gt;0,"Subaward - "&amp;'Subaward Calculator'!B20,'BP1'!C66)</f>
        <v>Subaward V</v>
      </c>
      <c r="B80" s="418">
        <f>'BP1'!K66</f>
        <v>0</v>
      </c>
      <c r="C80" s="418">
        <f>IF('BP2'!K66="",0,'BP2'!K66)</f>
        <v>0</v>
      </c>
      <c r="D80" s="418">
        <f>IF('BP3'!K66="",0,'BP3'!K66)</f>
        <v>0</v>
      </c>
      <c r="E80" s="418">
        <f>IF('BP4'!K66="",0,'BP4'!K66)</f>
        <v>0</v>
      </c>
      <c r="F80" s="419">
        <f>IF('BP5'!K66="",0,'BP5'!K66)</f>
        <v>0</v>
      </c>
      <c r="G80" s="418">
        <f t="shared" ref="G80:G94" si="1">SUM(B80:F80)</f>
        <v>0</v>
      </c>
      <c r="I80" s="116" t="s">
        <v>221</v>
      </c>
    </row>
    <row r="81" spans="1:9" ht="15.75" hidden="1" customHeight="1">
      <c r="A81" s="64" t="str">
        <f>IF(G81&gt;0,"Subaward - "&amp;'Subaward Calculator'!B23,'BP1'!C67)</f>
        <v>Subaward VI</v>
      </c>
      <c r="B81" s="418">
        <f>'BP1'!K67</f>
        <v>0</v>
      </c>
      <c r="C81" s="418">
        <f>IF('BP2'!K67="",0,'BP2'!K67)</f>
        <v>0</v>
      </c>
      <c r="D81" s="418">
        <f>IF('BP3'!K67="",0,'BP3'!K67)</f>
        <v>0</v>
      </c>
      <c r="E81" s="418">
        <f>IF('BP4'!K67="",0,'BP4'!K67)</f>
        <v>0</v>
      </c>
      <c r="F81" s="419">
        <f>IF('BP5'!K67="",0,'BP5'!K67)</f>
        <v>0</v>
      </c>
      <c r="G81" s="418">
        <f t="shared" si="1"/>
        <v>0</v>
      </c>
      <c r="I81" s="116" t="s">
        <v>221</v>
      </c>
    </row>
    <row r="82" spans="1:9" ht="15.75" hidden="1" customHeight="1">
      <c r="A82" s="64" t="str">
        <f>IF(G82&gt;0,"Subaward - "&amp;'Subaward Calculator'!B26,'BP1'!C68)</f>
        <v>Subaward VII</v>
      </c>
      <c r="B82" s="418">
        <f>'BP1'!K68</f>
        <v>0</v>
      </c>
      <c r="C82" s="418">
        <f>IF('BP2'!K68="",0,'BP2'!K68)</f>
        <v>0</v>
      </c>
      <c r="D82" s="418">
        <f>IF('BP3'!K68="",0,'BP3'!K68)</f>
        <v>0</v>
      </c>
      <c r="E82" s="418">
        <f>IF('BP4'!K68="",0,'BP4'!K68)</f>
        <v>0</v>
      </c>
      <c r="F82" s="419">
        <f>IF('BP5'!K68="",0,'BP5'!K68)</f>
        <v>0</v>
      </c>
      <c r="G82" s="418">
        <f t="shared" si="1"/>
        <v>0</v>
      </c>
      <c r="I82" s="116" t="s">
        <v>220</v>
      </c>
    </row>
    <row r="83" spans="1:9" ht="15.75" hidden="1" customHeight="1">
      <c r="A83" s="64" t="str">
        <f>IF(G83&gt;0,"Subaward - "&amp;'Subaward Calculator'!B29,'BP1'!C69)</f>
        <v>Subaward VIII</v>
      </c>
      <c r="B83" s="418">
        <f>'BP1'!K69</f>
        <v>0</v>
      </c>
      <c r="C83" s="418">
        <f>IF('BP2'!K69="",0,'BP2'!K69)</f>
        <v>0</v>
      </c>
      <c r="D83" s="418">
        <f>IF('BP3'!K69="",0,'BP3'!K69)</f>
        <v>0</v>
      </c>
      <c r="E83" s="418">
        <f>IF('BP4'!K69="",0,'BP4'!K69)</f>
        <v>0</v>
      </c>
      <c r="F83" s="419">
        <f>IF('BP5'!K69="",0,'BP5'!K69)</f>
        <v>0</v>
      </c>
      <c r="G83" s="418">
        <f t="shared" si="1"/>
        <v>0</v>
      </c>
      <c r="I83" s="116" t="s">
        <v>220</v>
      </c>
    </row>
    <row r="84" spans="1:9" ht="15.75" hidden="1" customHeight="1">
      <c r="A84" s="64" t="str">
        <f>IF(G84&gt;0,"Subaward - "&amp;'Subaward Calculator'!B32,'BP1'!C70)</f>
        <v>Subaward IX</v>
      </c>
      <c r="B84" s="418">
        <f>'BP1'!K70</f>
        <v>0</v>
      </c>
      <c r="C84" s="418">
        <f>IF('BP2'!K70="",0,'BP2'!K70)</f>
        <v>0</v>
      </c>
      <c r="D84" s="418">
        <f>IF('BP3'!K70="",0,'BP3'!K70)</f>
        <v>0</v>
      </c>
      <c r="E84" s="418">
        <f>IF('BP4'!K70="",0,'BP4'!K70)</f>
        <v>0</v>
      </c>
      <c r="F84" s="419">
        <f>IF('BP5'!K70="",0,'BP5'!K70)</f>
        <v>0</v>
      </c>
      <c r="G84" s="418">
        <f t="shared" si="1"/>
        <v>0</v>
      </c>
      <c r="I84" s="116" t="s">
        <v>220</v>
      </c>
    </row>
    <row r="85" spans="1:9" ht="15.75" hidden="1" customHeight="1">
      <c r="A85" s="64" t="str">
        <f>IF(G85&gt;0,"Subaward - "&amp;'Subaward Calculator'!B35,'BP1'!C71)</f>
        <v>Subaward X</v>
      </c>
      <c r="B85" s="418">
        <f>'BP1'!K71</f>
        <v>0</v>
      </c>
      <c r="C85" s="418">
        <f>IF('BP2'!K71="",0,'BP2'!K71)</f>
        <v>0</v>
      </c>
      <c r="D85" s="418">
        <f>IF('BP3'!K71="",0,'BP3'!K71)</f>
        <v>0</v>
      </c>
      <c r="E85" s="418">
        <f>IF('BP4'!K71="",0,'BP4'!K71)</f>
        <v>0</v>
      </c>
      <c r="F85" s="419">
        <f>IF('BP5'!K71="",0,'BP5'!K71)</f>
        <v>0</v>
      </c>
      <c r="G85" s="418">
        <f t="shared" si="1"/>
        <v>0</v>
      </c>
      <c r="I85" s="116" t="s">
        <v>220</v>
      </c>
    </row>
    <row r="86" spans="1:9" ht="15.75" hidden="1" customHeight="1">
      <c r="A86" s="64" t="str">
        <f>IF(G86&gt;0,"Subaward - "&amp;'Subaward Calculator'!B38,'BP1'!C72)</f>
        <v>Subaward XI</v>
      </c>
      <c r="B86" s="418">
        <f>'BP1'!K72</f>
        <v>0</v>
      </c>
      <c r="C86" s="418">
        <f>IF('BP2'!K72="",0,'BP2'!K72)</f>
        <v>0</v>
      </c>
      <c r="D86" s="418">
        <f>IF('BP3'!K72="",0,'BP3'!K72)</f>
        <v>0</v>
      </c>
      <c r="E86" s="418">
        <f>IF('BP4'!K72="",0,'BP4'!K72)</f>
        <v>0</v>
      </c>
      <c r="F86" s="419">
        <f>IF('BP5'!K72="",0,'BP5'!K72)</f>
        <v>0</v>
      </c>
      <c r="G86" s="418">
        <f t="shared" si="1"/>
        <v>0</v>
      </c>
      <c r="I86" s="116" t="s">
        <v>220</v>
      </c>
    </row>
    <row r="87" spans="1:9" ht="15.75" hidden="1" customHeight="1">
      <c r="A87" s="64" t="str">
        <f>IF(G87&gt;0,"Subaward - "&amp;'Subaward Calculator'!B41,'BP1'!C73)</f>
        <v>Subaward XII</v>
      </c>
      <c r="B87" s="418">
        <f>'BP1'!K73</f>
        <v>0</v>
      </c>
      <c r="C87" s="418">
        <f>IF('BP2'!K73="",0,'BP2'!K73)</f>
        <v>0</v>
      </c>
      <c r="D87" s="418">
        <f>IF('BP3'!K73="",0,'BP3'!K73)</f>
        <v>0</v>
      </c>
      <c r="E87" s="418">
        <f>IF('BP4'!K73="",0,'BP4'!K73)</f>
        <v>0</v>
      </c>
      <c r="F87" s="419">
        <f>IF('BP5'!K73="",0,'BP5'!K73)</f>
        <v>0</v>
      </c>
      <c r="G87" s="418">
        <f t="shared" si="1"/>
        <v>0</v>
      </c>
      <c r="I87" s="116" t="s">
        <v>220</v>
      </c>
    </row>
    <row r="88" spans="1:9">
      <c r="A88" s="68" t="s">
        <v>94</v>
      </c>
      <c r="B88" s="426">
        <f>'BP1'!K74</f>
        <v>0</v>
      </c>
      <c r="C88" s="426">
        <f>'BP2'!K74</f>
        <v>0</v>
      </c>
      <c r="D88" s="426">
        <f>'BP3'!K74</f>
        <v>0</v>
      </c>
      <c r="E88" s="426">
        <f>'BP4'!K74</f>
        <v>0</v>
      </c>
      <c r="F88" s="427">
        <f>'BP5'!K74</f>
        <v>0</v>
      </c>
      <c r="G88" s="426">
        <f t="shared" si="1"/>
        <v>0</v>
      </c>
      <c r="I88" s="116" t="s">
        <v>219</v>
      </c>
    </row>
    <row r="89" spans="1:9">
      <c r="A89" s="62"/>
      <c r="B89" s="395"/>
      <c r="C89" s="395"/>
      <c r="D89" s="395"/>
      <c r="E89" s="395"/>
      <c r="F89" s="395"/>
      <c r="G89" s="395"/>
      <c r="I89" s="116" t="s">
        <v>219</v>
      </c>
    </row>
    <row r="90" spans="1:9">
      <c r="A90" s="68" t="s">
        <v>582</v>
      </c>
      <c r="B90" s="426">
        <f>'BP1'!K75</f>
        <v>0</v>
      </c>
      <c r="C90" s="426">
        <f>'BP2'!K75</f>
        <v>0</v>
      </c>
      <c r="D90" s="426">
        <f>'BP3'!K75</f>
        <v>0</v>
      </c>
      <c r="E90" s="426">
        <f>'BP4'!K75</f>
        <v>0</v>
      </c>
      <c r="F90" s="427">
        <f>'BP5'!K75</f>
        <v>0</v>
      </c>
      <c r="G90" s="426">
        <f>SUM(B90:F90)</f>
        <v>0</v>
      </c>
      <c r="I90" s="116" t="s">
        <v>219</v>
      </c>
    </row>
    <row r="91" spans="1:9">
      <c r="A91" s="63" t="str">
        <f>IF('Appendix C-Grants.gov Form Info'!J1&gt;0,IF(AND(SUM(G77:G87)&gt;0,'Subaward Calculator'!AD46=0),"","     Total NU Direct Costs and Subaward Direct Costs"),"")</f>
        <v/>
      </c>
      <c r="B91" s="426" t="str">
        <f>'BP1'!K76</f>
        <v/>
      </c>
      <c r="C91" s="426" t="str">
        <f>'BP2'!K76</f>
        <v/>
      </c>
      <c r="D91" s="426" t="str">
        <f>'BP3'!K76</f>
        <v/>
      </c>
      <c r="E91" s="426" t="str">
        <f>'BP4'!K76</f>
        <v/>
      </c>
      <c r="F91" s="427" t="str">
        <f>'BP5'!K76</f>
        <v/>
      </c>
      <c r="G91" s="426" t="str">
        <f>IF('Appendix C-Grants.gov Form Info'!J1&gt;0,IF(AND(SUM(G77:G87)&gt;0,'Subaward Calculator'!AD46=0),"",SUM(B91:F91)),"")</f>
        <v/>
      </c>
      <c r="I91" s="116" t="s">
        <v>219</v>
      </c>
    </row>
    <row r="92" spans="1:9">
      <c r="A92" s="488" t="s">
        <v>99</v>
      </c>
      <c r="B92" s="428">
        <f>'BP1'!G78</f>
        <v>0</v>
      </c>
      <c r="C92" s="428">
        <f>'BP2'!G78</f>
        <v>0</v>
      </c>
      <c r="D92" s="428">
        <f>'BP3'!G78</f>
        <v>0</v>
      </c>
      <c r="E92" s="428">
        <f>'BP4'!G78</f>
        <v>0</v>
      </c>
      <c r="F92" s="429">
        <f>'BP5'!G78</f>
        <v>0</v>
      </c>
      <c r="G92" s="428">
        <f>SUM(B92:F92)</f>
        <v>0</v>
      </c>
      <c r="I92" s="116" t="s">
        <v>219</v>
      </c>
    </row>
    <row r="93" spans="1:9">
      <c r="A93" s="63" t="s">
        <v>95</v>
      </c>
      <c r="B93" s="422">
        <f ca="1">'BP1'!K79</f>
        <v>0</v>
      </c>
      <c r="C93" s="422">
        <f ca="1">'BP2'!K79</f>
        <v>0</v>
      </c>
      <c r="D93" s="422">
        <f ca="1">'BP3'!K79</f>
        <v>0</v>
      </c>
      <c r="E93" s="422">
        <f ca="1">'BP4'!K79</f>
        <v>0</v>
      </c>
      <c r="F93" s="423">
        <f ca="1">'BP5'!K79</f>
        <v>0</v>
      </c>
      <c r="G93" s="422">
        <f t="shared" ca="1" si="1"/>
        <v>0</v>
      </c>
      <c r="I93" s="116" t="s">
        <v>219</v>
      </c>
    </row>
    <row r="94" spans="1:9">
      <c r="A94" s="68" t="s">
        <v>96</v>
      </c>
      <c r="B94" s="426">
        <f ca="1">'BP1'!K80</f>
        <v>0</v>
      </c>
      <c r="C94" s="426">
        <f>'BP2'!K80</f>
        <v>0</v>
      </c>
      <c r="D94" s="426">
        <f>'BP3'!K80</f>
        <v>0</v>
      </c>
      <c r="E94" s="426">
        <f>'BP4'!K80</f>
        <v>0</v>
      </c>
      <c r="F94" s="427">
        <f>'BP5'!K80</f>
        <v>0</v>
      </c>
      <c r="G94" s="426">
        <f t="shared" ca="1" si="1"/>
        <v>0</v>
      </c>
      <c r="I94" s="116" t="s">
        <v>219</v>
      </c>
    </row>
  </sheetData>
  <autoFilter ref="I1:I94" xr:uid="{00000000-0009-0000-0000-000000000000}">
    <filterColumn colId="0">
      <filters>
        <filter val="A) Condensed"/>
      </filters>
    </filterColumn>
  </autoFilter>
  <mergeCells count="46">
    <mergeCell ref="Z38:AB39"/>
    <mergeCell ref="AC38:AE39"/>
    <mergeCell ref="K17:M18"/>
    <mergeCell ref="K13:M14"/>
    <mergeCell ref="N38:P39"/>
    <mergeCell ref="Q38:S39"/>
    <mergeCell ref="T38:V39"/>
    <mergeCell ref="W38:Y39"/>
    <mergeCell ref="K35:M36"/>
    <mergeCell ref="K38:M39"/>
    <mergeCell ref="K7:M8"/>
    <mergeCell ref="K9:M10"/>
    <mergeCell ref="K11:M12"/>
    <mergeCell ref="K29:M30"/>
    <mergeCell ref="K33:M34"/>
    <mergeCell ref="K15:M16"/>
    <mergeCell ref="K1:AE1"/>
    <mergeCell ref="A1:G1"/>
    <mergeCell ref="A4:G4"/>
    <mergeCell ref="K6:M6"/>
    <mergeCell ref="A3:C3"/>
    <mergeCell ref="F2:G2"/>
    <mergeCell ref="B2:C2"/>
    <mergeCell ref="D2:E2"/>
    <mergeCell ref="E3:G3"/>
    <mergeCell ref="N6:P6"/>
    <mergeCell ref="Q6:S6"/>
    <mergeCell ref="T6:V6"/>
    <mergeCell ref="W6:Y6"/>
    <mergeCell ref="Z6:AB6"/>
    <mergeCell ref="AC6:AE6"/>
    <mergeCell ref="K42:M43"/>
    <mergeCell ref="K52:M53"/>
    <mergeCell ref="K40:M41"/>
    <mergeCell ref="K56:M57"/>
    <mergeCell ref="K19:M20"/>
    <mergeCell ref="K21:M22"/>
    <mergeCell ref="K23:M24"/>
    <mergeCell ref="K25:M26"/>
    <mergeCell ref="K27:M28"/>
    <mergeCell ref="K31:M32"/>
    <mergeCell ref="K44:M45"/>
    <mergeCell ref="K46:M47"/>
    <mergeCell ref="K48:M49"/>
    <mergeCell ref="K50:M51"/>
    <mergeCell ref="K54:M55"/>
  </mergeCells>
  <phoneticPr fontId="32" type="noConversion"/>
  <pageMargins left="0.75" right="0.75" top="1" bottom="1" header="0.5" footer="0.5"/>
  <pageSetup scale="72" orientation="portrait" r:id="rId1"/>
  <headerFooter alignWithMargins="0"/>
  <ignoredErrors>
    <ignoredError sqref="A56 A10:A34 A35 G91" formula="1"/>
  </ignoredError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filterMode="1">
    <tabColor theme="7" tint="0.39997558519241921"/>
    <pageSetUpPr fitToPage="1"/>
  </sheetPr>
  <dimension ref="A1:AZ112"/>
  <sheetViews>
    <sheetView zoomScaleNormal="100" workbookViewId="0">
      <selection activeCell="T1" sqref="T1"/>
    </sheetView>
  </sheetViews>
  <sheetFormatPr defaultColWidth="9.140625" defaultRowHeight="15.75"/>
  <cols>
    <col min="1" max="1" width="47.42578125" style="61" bestFit="1" customWidth="1"/>
    <col min="2" max="3" width="11.85546875" style="61" customWidth="1"/>
    <col min="4" max="4" width="1.28515625" style="61" customWidth="1"/>
    <col min="5" max="6" width="11.85546875" style="61" customWidth="1"/>
    <col min="7" max="7" width="1.28515625" style="61" customWidth="1"/>
    <col min="8" max="9" width="11.85546875" style="61" customWidth="1"/>
    <col min="10" max="10" width="1.28515625" style="61" customWidth="1"/>
    <col min="11" max="12" width="11.85546875" style="61" customWidth="1"/>
    <col min="13" max="13" width="1.28515625" style="61" customWidth="1"/>
    <col min="14" max="15" width="11.85546875" style="61" customWidth="1"/>
    <col min="16" max="16" width="1.28515625" style="61" customWidth="1"/>
    <col min="17" max="18" width="11.85546875" style="61" customWidth="1"/>
    <col min="19" max="19" width="1.28515625" style="61" customWidth="1"/>
    <col min="20" max="20" width="35.7109375" style="1" bestFit="1" customWidth="1"/>
    <col min="21" max="21" width="3.85546875" style="61" customWidth="1"/>
    <col min="22" max="24" width="9.140625" style="61"/>
    <col min="25" max="42" width="8.28515625" style="61" customWidth="1"/>
    <col min="43" max="43" width="3.85546875" style="61" customWidth="1"/>
    <col min="44" max="46" width="9.140625" style="61"/>
    <col min="47" max="52" width="8.28515625" style="61" customWidth="1"/>
    <col min="53" max="16384" width="9.140625" style="61"/>
  </cols>
  <sheetData>
    <row r="1" spans="1:52" ht="31.5" customHeight="1" thickBot="1">
      <c r="A1" s="633" t="str">
        <f>'BP1'!A1</f>
        <v>Title</v>
      </c>
      <c r="B1" s="634"/>
      <c r="C1" s="634"/>
      <c r="D1" s="634"/>
      <c r="E1" s="634"/>
      <c r="F1" s="634"/>
      <c r="G1" s="634"/>
      <c r="H1" s="634"/>
      <c r="I1" s="634"/>
      <c r="J1" s="634"/>
      <c r="K1" s="634"/>
      <c r="L1" s="634"/>
      <c r="M1" s="634"/>
      <c r="N1" s="634"/>
      <c r="O1" s="634"/>
      <c r="P1" s="634"/>
      <c r="Q1" s="634"/>
      <c r="R1" s="635"/>
      <c r="T1" s="119" t="s">
        <v>188</v>
      </c>
      <c r="V1" s="638" t="s">
        <v>456</v>
      </c>
      <c r="W1" s="639"/>
      <c r="X1" s="639"/>
      <c r="Y1" s="639"/>
      <c r="Z1" s="639"/>
      <c r="AA1" s="639"/>
      <c r="AB1" s="639"/>
      <c r="AC1" s="639"/>
      <c r="AD1" s="639"/>
      <c r="AE1" s="639"/>
      <c r="AF1" s="639"/>
      <c r="AG1" s="639"/>
      <c r="AH1" s="639"/>
      <c r="AI1" s="639"/>
      <c r="AJ1" s="639"/>
      <c r="AK1" s="639"/>
      <c r="AL1" s="639"/>
      <c r="AM1" s="639"/>
      <c r="AN1" s="639"/>
      <c r="AO1" s="639"/>
      <c r="AP1" s="639"/>
      <c r="AQ1" s="639"/>
      <c r="AR1" s="639"/>
      <c r="AS1" s="639"/>
      <c r="AT1" s="639"/>
      <c r="AU1" s="639"/>
      <c r="AV1" s="639"/>
      <c r="AW1" s="639"/>
      <c r="AX1" s="639"/>
      <c r="AY1" s="639"/>
      <c r="AZ1" s="640"/>
    </row>
    <row r="2" spans="1:52" ht="31.5" customHeight="1">
      <c r="A2" s="665" t="str">
        <f>"Northwestern PI 
"&amp;'BP1'!A11</f>
        <v>Northwestern PI 
Professor McCormick</v>
      </c>
      <c r="B2" s="665"/>
      <c r="C2" s="665"/>
      <c r="D2" s="666" t="str">
        <f>CONCATENATE("Start Date: 
",TEXT('BP1'!K8,"mmmm d, yyyy"))</f>
        <v>Start Date: 
September 1, 2022</v>
      </c>
      <c r="E2" s="666"/>
      <c r="F2" s="666"/>
      <c r="G2" s="666"/>
      <c r="H2" s="666"/>
      <c r="I2" s="666" t="str">
        <f ca="1">CONCATENATE("End Date: 
",TEXT(INDIRECT("BP"&amp;'BP1'!K5&amp;"!K10"),"mmmm d, yyyy"))</f>
        <v>End Date: 
August 31, 2023</v>
      </c>
      <c r="J2" s="666"/>
      <c r="K2" s="666"/>
      <c r="L2" s="666"/>
      <c r="M2" s="666"/>
      <c r="N2" s="636" t="str">
        <f>CONCATENATE('BP1'!K5," ","Budget Period",IF('BP1'!K5&gt;1,"s",""))</f>
        <v>1 Budget Period</v>
      </c>
      <c r="O2" s="636"/>
      <c r="P2" s="636"/>
      <c r="Q2" s="636"/>
      <c r="R2" s="636"/>
      <c r="T2" s="117" t="s">
        <v>219</v>
      </c>
      <c r="V2" s="641"/>
      <c r="W2" s="642"/>
      <c r="X2" s="642"/>
      <c r="Y2" s="642"/>
      <c r="Z2" s="642"/>
      <c r="AA2" s="642"/>
      <c r="AB2" s="642"/>
      <c r="AC2" s="642"/>
      <c r="AD2" s="642"/>
      <c r="AE2" s="642"/>
      <c r="AF2" s="642"/>
      <c r="AG2" s="642"/>
      <c r="AH2" s="642"/>
      <c r="AI2" s="642"/>
      <c r="AJ2" s="642"/>
      <c r="AK2" s="642"/>
      <c r="AL2" s="642"/>
      <c r="AM2" s="642"/>
      <c r="AN2" s="642"/>
      <c r="AO2" s="642"/>
      <c r="AP2" s="642"/>
      <c r="AQ2" s="642"/>
      <c r="AR2" s="642"/>
      <c r="AS2" s="642"/>
      <c r="AT2" s="642"/>
      <c r="AU2" s="642"/>
      <c r="AV2" s="642"/>
      <c r="AW2" s="642"/>
      <c r="AX2" s="642"/>
      <c r="AY2" s="642"/>
      <c r="AZ2" s="643"/>
    </row>
    <row r="3" spans="1:52" ht="16.5" thickBot="1">
      <c r="A3" s="649" t="str">
        <f>IF('BP1'!L2="No F&amp;A","No Indirect Costs",CONCATENATE("Initial Fiscal Year ",'BP1'!K2," ",'BP1'!L2," F&amp;A Rate of ",IF('BP1'!L2="Custom",TEXT('BP1'!I77,"0.00%"),TEXT('BP1'!G77,"0.00%"))))</f>
        <v>Initial Fiscal Year Federal On Campus F&amp;A Rate of 60.00%</v>
      </c>
      <c r="B3" s="649"/>
      <c r="C3" s="649"/>
      <c r="D3" s="445"/>
      <c r="E3" s="445"/>
      <c r="F3" s="445"/>
      <c r="G3" s="446"/>
      <c r="H3" s="649" t="str">
        <f>'BP1'!K3</f>
        <v>MTDC</v>
      </c>
      <c r="I3" s="649"/>
      <c r="J3" s="445"/>
      <c r="K3" s="445"/>
      <c r="L3" s="445"/>
      <c r="M3" s="445"/>
      <c r="N3" s="649" t="str">
        <f>CONCATENATE(TEXT('BP1'!$K$7,"0.00%")," ","Annual Salary Increase")</f>
        <v>3.00% Annual Salary Increase</v>
      </c>
      <c r="O3" s="649"/>
      <c r="P3" s="649"/>
      <c r="Q3" s="649"/>
      <c r="R3" s="649"/>
      <c r="T3" s="117" t="s">
        <v>219</v>
      </c>
      <c r="V3" s="644"/>
      <c r="W3" s="645"/>
      <c r="X3" s="645"/>
      <c r="Y3" s="645"/>
      <c r="Z3" s="645"/>
      <c r="AA3" s="645"/>
      <c r="AB3" s="645"/>
      <c r="AC3" s="645"/>
      <c r="AD3" s="645"/>
      <c r="AE3" s="645"/>
      <c r="AF3" s="645"/>
      <c r="AG3" s="645"/>
      <c r="AH3" s="645"/>
      <c r="AI3" s="645"/>
      <c r="AJ3" s="645"/>
      <c r="AK3" s="645"/>
      <c r="AL3" s="645"/>
      <c r="AM3" s="645"/>
      <c r="AN3" s="645"/>
      <c r="AO3" s="645"/>
      <c r="AP3" s="645"/>
      <c r="AQ3" s="645"/>
      <c r="AR3" s="645"/>
      <c r="AS3" s="645"/>
      <c r="AT3" s="645"/>
      <c r="AU3" s="645"/>
      <c r="AV3" s="645"/>
      <c r="AW3" s="645"/>
      <c r="AX3" s="645"/>
      <c r="AY3" s="645"/>
      <c r="AZ3" s="646"/>
    </row>
    <row r="4" spans="1:52" ht="16.5" thickBot="1">
      <c r="A4" s="637" t="str">
        <f ca="1">IF('BP1'!N84=0,"Note: You have not budgeted Cost-Share funds. Please use the Sponsor-only Budget.","")</f>
        <v>Note: You have not budgeted Cost-Share funds. Please use the Sponsor-only Budget.</v>
      </c>
      <c r="B4" s="637"/>
      <c r="C4" s="637"/>
      <c r="D4" s="637"/>
      <c r="E4" s="637"/>
      <c r="F4" s="637"/>
      <c r="G4" s="637"/>
      <c r="H4" s="637"/>
      <c r="I4" s="637"/>
      <c r="J4" s="637"/>
      <c r="K4" s="637"/>
      <c r="L4" s="637"/>
      <c r="M4" s="637"/>
      <c r="N4" s="637"/>
      <c r="O4" s="637"/>
      <c r="P4" s="637"/>
      <c r="Q4" s="637"/>
      <c r="R4" s="637"/>
      <c r="T4" s="117" t="s">
        <v>219</v>
      </c>
      <c r="V4" s="208"/>
      <c r="W4" s="208"/>
      <c r="X4" s="208"/>
      <c r="Y4" s="208"/>
      <c r="Z4" s="208"/>
      <c r="AA4" s="208"/>
    </row>
    <row r="5" spans="1:52" ht="16.5" thickBot="1">
      <c r="A5" s="650"/>
      <c r="B5" s="647" t="s">
        <v>424</v>
      </c>
      <c r="C5" s="648"/>
      <c r="E5" s="647" t="str">
        <f>IF('BP1'!$K$5&gt;1,"Budget Period 2","")</f>
        <v/>
      </c>
      <c r="F5" s="648"/>
      <c r="H5" s="647" t="str">
        <f>IF('BP1'!$K$5&gt;2,"Budget Period 3","")</f>
        <v/>
      </c>
      <c r="I5" s="648"/>
      <c r="K5" s="647" t="str">
        <f>IF('BP1'!$K$5&gt;3,"Budget Period 4","")</f>
        <v/>
      </c>
      <c r="L5" s="648"/>
      <c r="N5" s="647" t="str">
        <f>IF('BP1'!$K$5&gt;4,"Budget Period 5","")</f>
        <v/>
      </c>
      <c r="O5" s="648"/>
      <c r="Q5" s="647" t="s">
        <v>290</v>
      </c>
      <c r="R5" s="648"/>
      <c r="T5" s="117" t="s">
        <v>219</v>
      </c>
    </row>
    <row r="6" spans="1:52" ht="16.149999999999999" customHeight="1" thickBot="1">
      <c r="A6" s="650"/>
      <c r="B6" s="652" t="str">
        <f>IF('BP1'!$K$5&gt;0,CONCATENATE(TEXT('BP1'!$K$8,"m/d/yy")," - ",TEXT('BP1'!$K$10,"m/d/yy")),"")</f>
        <v>9/1/22 - 8/31/23</v>
      </c>
      <c r="C6" s="653"/>
      <c r="E6" s="652" t="str">
        <f>IF('BP1'!$K$5&gt;1,CONCATENATE(TEXT('BP2'!$K$8,"m/d/yy")," - ",TEXT('BP2'!$K$10,"m/d/yy")),"")</f>
        <v/>
      </c>
      <c r="F6" s="653"/>
      <c r="H6" s="652" t="str">
        <f>IF('BP1'!$K$5&gt;2,CONCATENATE(TEXT('BP3'!$K$8,"m/d/yy")," - ",TEXT('BP3'!$K$10,"m/d/yy")),"")</f>
        <v/>
      </c>
      <c r="I6" s="653"/>
      <c r="K6" s="652" t="str">
        <f>IF('BP1'!$K$5&gt;3,CONCATENATE(TEXT('BP4'!$K$8,"m/d/yy")," - ",TEXT('BP4'!$K$10,"m/d/yy")),"")</f>
        <v/>
      </c>
      <c r="L6" s="653"/>
      <c r="N6" s="652" t="str">
        <f>IF('BP1'!$K$5&gt;4,CONCATENATE(TEXT('BP5'!$K$8,"m/d/yy")," - ",TEXT('BP5'!$K$10,"m/d/yy")),"")</f>
        <v/>
      </c>
      <c r="O6" s="653"/>
      <c r="Q6" s="652" t="str">
        <f ca="1">CONCATENATE(TEXT('BP1'!K8,"m/d/yy")," - ",TEXT(INDIRECT("BP"&amp;'BP1'!K5&amp;"!K10"),"m/d/yy"))</f>
        <v>9/1/22 - 8/31/23</v>
      </c>
      <c r="R6" s="653"/>
      <c r="T6" s="117" t="s">
        <v>219</v>
      </c>
      <c r="V6" s="630" t="s">
        <v>201</v>
      </c>
      <c r="W6" s="631"/>
      <c r="X6" s="631"/>
      <c r="Y6" s="631"/>
      <c r="Z6" s="631"/>
      <c r="AA6" s="631"/>
      <c r="AB6" s="631"/>
      <c r="AC6" s="631"/>
      <c r="AD6" s="631"/>
      <c r="AE6" s="631"/>
      <c r="AF6" s="631"/>
      <c r="AG6" s="631"/>
      <c r="AH6" s="631"/>
      <c r="AI6" s="631"/>
      <c r="AJ6" s="631"/>
      <c r="AK6" s="631"/>
      <c r="AL6" s="631"/>
      <c r="AM6" s="631"/>
      <c r="AN6" s="631"/>
      <c r="AO6" s="631"/>
      <c r="AP6" s="632"/>
      <c r="AR6" s="654" t="s">
        <v>510</v>
      </c>
      <c r="AS6" s="655"/>
      <c r="AT6" s="655"/>
      <c r="AU6" s="655"/>
      <c r="AV6" s="655"/>
      <c r="AW6" s="655"/>
      <c r="AX6" s="655"/>
      <c r="AY6" s="655"/>
      <c r="AZ6" s="656"/>
    </row>
    <row r="7" spans="1:52" ht="16.5" customHeight="1" thickBot="1">
      <c r="A7" s="651"/>
      <c r="B7" s="257" t="s">
        <v>201</v>
      </c>
      <c r="C7" s="258" t="s">
        <v>510</v>
      </c>
      <c r="D7" s="62"/>
      <c r="E7" s="257" t="s">
        <v>201</v>
      </c>
      <c r="F7" s="258" t="s">
        <v>510</v>
      </c>
      <c r="G7" s="62"/>
      <c r="H7" s="257" t="s">
        <v>201</v>
      </c>
      <c r="I7" s="258" t="s">
        <v>510</v>
      </c>
      <c r="J7" s="62"/>
      <c r="K7" s="257" t="s">
        <v>201</v>
      </c>
      <c r="L7" s="258" t="s">
        <v>510</v>
      </c>
      <c r="M7" s="62"/>
      <c r="N7" s="257" t="s">
        <v>201</v>
      </c>
      <c r="O7" s="258" t="s">
        <v>510</v>
      </c>
      <c r="P7" s="62"/>
      <c r="Q7" s="257" t="s">
        <v>201</v>
      </c>
      <c r="R7" s="258" t="s">
        <v>510</v>
      </c>
      <c r="S7" s="62"/>
      <c r="T7" s="117" t="s">
        <v>219</v>
      </c>
      <c r="V7" s="605" t="s">
        <v>227</v>
      </c>
      <c r="W7" s="605"/>
      <c r="X7" s="605"/>
      <c r="Y7" s="616" t="s">
        <v>424</v>
      </c>
      <c r="Z7" s="617"/>
      <c r="AA7" s="618"/>
      <c r="AB7" s="616" t="s">
        <v>425</v>
      </c>
      <c r="AC7" s="617"/>
      <c r="AD7" s="618"/>
      <c r="AE7" s="616" t="s">
        <v>426</v>
      </c>
      <c r="AF7" s="617"/>
      <c r="AG7" s="618"/>
      <c r="AH7" s="619" t="s">
        <v>427</v>
      </c>
      <c r="AI7" s="619"/>
      <c r="AJ7" s="619"/>
      <c r="AK7" s="616" t="s">
        <v>428</v>
      </c>
      <c r="AL7" s="617"/>
      <c r="AM7" s="618"/>
      <c r="AN7" s="616" t="s">
        <v>97</v>
      </c>
      <c r="AO7" s="617"/>
      <c r="AP7" s="618"/>
      <c r="AR7" s="657" t="s">
        <v>227</v>
      </c>
      <c r="AS7" s="657"/>
      <c r="AT7" s="657"/>
      <c r="AU7" s="364" t="s">
        <v>451</v>
      </c>
      <c r="AV7" s="364" t="s">
        <v>452</v>
      </c>
      <c r="AW7" s="364" t="s">
        <v>453</v>
      </c>
      <c r="AX7" s="364" t="s">
        <v>454</v>
      </c>
      <c r="AY7" s="365" t="s">
        <v>455</v>
      </c>
      <c r="AZ7" s="364" t="s">
        <v>97</v>
      </c>
    </row>
    <row r="8" spans="1:52">
      <c r="A8" s="76" t="str">
        <f>IF('BP1'!$B$15="Professor McCormick","Senior Personnel 1 Salary",IF(ISBLANK('BP1'!$B$15),"Senior Personnel 1 Salary",""&amp;'BP1'!$B$15&amp;" Salary"))</f>
        <v>Senior Personnel 1 Salary</v>
      </c>
      <c r="B8" s="393">
        <f>'BP1'!$K$15</f>
        <v>0</v>
      </c>
      <c r="C8" s="394">
        <f>'BP1'!$N$15</f>
        <v>0</v>
      </c>
      <c r="D8" s="395"/>
      <c r="E8" s="393">
        <f ca="1">'BP2'!$K$15</f>
        <v>0</v>
      </c>
      <c r="F8" s="394">
        <f ca="1">'BP2'!$N$15</f>
        <v>0</v>
      </c>
      <c r="G8" s="395"/>
      <c r="H8" s="393">
        <f ca="1">'BP3'!$K$15</f>
        <v>0</v>
      </c>
      <c r="I8" s="394">
        <f ca="1">'BP3'!$N$15</f>
        <v>0</v>
      </c>
      <c r="J8" s="395"/>
      <c r="K8" s="393">
        <f ca="1">'BP4'!$K$15</f>
        <v>0</v>
      </c>
      <c r="L8" s="394">
        <f ca="1">'BP4'!$N$15</f>
        <v>0</v>
      </c>
      <c r="M8" s="395"/>
      <c r="N8" s="393">
        <f ca="1">'BP5'!$K$15</f>
        <v>0</v>
      </c>
      <c r="O8" s="394">
        <f ca="1">'BP5'!$N$15</f>
        <v>0</v>
      </c>
      <c r="P8" s="395"/>
      <c r="Q8" s="393">
        <f ca="1">B8+E8+H8+K8+N8</f>
        <v>0</v>
      </c>
      <c r="R8" s="394">
        <f ca="1">C8+F8+I8+L8+O8</f>
        <v>0</v>
      </c>
      <c r="S8" s="67"/>
      <c r="T8" s="117" t="s">
        <v>219</v>
      </c>
      <c r="V8" s="592" t="str">
        <f>IF('BP1'!$B$15="Professor McCormick","Senior Personnel 1",IF(ISBLANK('BP1'!$B$15),"Senior Personnel 1",'BP1'!$B$15))</f>
        <v>Senior Personnel 1</v>
      </c>
      <c r="W8" s="593"/>
      <c r="X8" s="594"/>
      <c r="Y8" s="569" t="s">
        <v>2</v>
      </c>
      <c r="Z8" s="571" t="s">
        <v>198</v>
      </c>
      <c r="AA8" s="571" t="s">
        <v>199</v>
      </c>
      <c r="AB8" s="569" t="s">
        <v>2</v>
      </c>
      <c r="AC8" s="571" t="s">
        <v>198</v>
      </c>
      <c r="AD8" s="571" t="s">
        <v>199</v>
      </c>
      <c r="AE8" s="569" t="s">
        <v>2</v>
      </c>
      <c r="AF8" s="571" t="s">
        <v>198</v>
      </c>
      <c r="AG8" s="571" t="s">
        <v>199</v>
      </c>
      <c r="AH8" s="569" t="s">
        <v>2</v>
      </c>
      <c r="AI8" s="571" t="s">
        <v>198</v>
      </c>
      <c r="AJ8" s="571" t="s">
        <v>199</v>
      </c>
      <c r="AK8" s="569" t="s">
        <v>2</v>
      </c>
      <c r="AL8" s="571" t="s">
        <v>198</v>
      </c>
      <c r="AM8" s="571" t="s">
        <v>199</v>
      </c>
      <c r="AN8" s="569" t="s">
        <v>2</v>
      </c>
      <c r="AO8" s="571" t="s">
        <v>198</v>
      </c>
      <c r="AP8" s="571" t="s">
        <v>199</v>
      </c>
      <c r="AR8" s="627" t="str">
        <f>IF('BP1'!$B$15="Professor McCormick","Senior Personnel 1",IF(ISBLANK('BP1'!$B$15),"Senior Personnel 1",'BP1'!$B$15))</f>
        <v>Senior Personnel 1</v>
      </c>
      <c r="AS8" s="627"/>
      <c r="AT8" s="627"/>
      <c r="AU8" s="573" t="s">
        <v>288</v>
      </c>
      <c r="AV8" s="573" t="s">
        <v>288</v>
      </c>
      <c r="AW8" s="573" t="s">
        <v>288</v>
      </c>
      <c r="AX8" s="573" t="s">
        <v>288</v>
      </c>
      <c r="AY8" s="573" t="s">
        <v>288</v>
      </c>
      <c r="AZ8" s="573" t="s">
        <v>288</v>
      </c>
    </row>
    <row r="9" spans="1:52" ht="15.75" customHeight="1">
      <c r="A9" s="76" t="str">
        <f>IF('BP1'!$B$15="Professor McCormick","Senior Personnel 1 Fringe",IF(ISBLANK('BP1'!$B$15),"Senior Personnel 1 Fringe",""&amp;'BP1'!$B$15&amp;" Fringe"))</f>
        <v>Senior Personnel 1 Fringe</v>
      </c>
      <c r="B9" s="396">
        <f>'BP1'!$L$15</f>
        <v>0</v>
      </c>
      <c r="C9" s="397">
        <f>'BP1'!$O$15</f>
        <v>0</v>
      </c>
      <c r="D9" s="395"/>
      <c r="E9" s="396">
        <f ca="1">'BP2'!$L$15</f>
        <v>0</v>
      </c>
      <c r="F9" s="397">
        <f ca="1">'BP2'!$O$15</f>
        <v>0</v>
      </c>
      <c r="G9" s="395"/>
      <c r="H9" s="396">
        <f ca="1">'BP3'!$L$15</f>
        <v>0</v>
      </c>
      <c r="I9" s="397">
        <f ca="1">'BP3'!$O$15</f>
        <v>0</v>
      </c>
      <c r="J9" s="395"/>
      <c r="K9" s="396">
        <f ca="1">'BP4'!$L$15</f>
        <v>0</v>
      </c>
      <c r="L9" s="397">
        <f ca="1">'BP4'!$O$15</f>
        <v>0</v>
      </c>
      <c r="M9" s="395"/>
      <c r="N9" s="396">
        <f ca="1">'BP5'!$L$15</f>
        <v>0</v>
      </c>
      <c r="O9" s="397">
        <f ca="1">'BP5'!$O$15</f>
        <v>0</v>
      </c>
      <c r="P9" s="395"/>
      <c r="Q9" s="396">
        <f t="shared" ref="Q9:Q80" ca="1" si="0">B9+E9+H9+K9+N9</f>
        <v>0</v>
      </c>
      <c r="R9" s="397">
        <f t="shared" ref="R9:R80" ca="1" si="1">C9+F9+I9+L9+O9</f>
        <v>0</v>
      </c>
      <c r="S9" s="67"/>
      <c r="T9" s="117" t="s">
        <v>219</v>
      </c>
      <c r="V9" s="595"/>
      <c r="W9" s="596"/>
      <c r="X9" s="597"/>
      <c r="Y9" s="570">
        <f>'BP1'!H15</f>
        <v>0</v>
      </c>
      <c r="Z9" s="572">
        <f>'BP1'!I15</f>
        <v>0</v>
      </c>
      <c r="AA9" s="572">
        <f>'BP1'!J15</f>
        <v>0</v>
      </c>
      <c r="AB9" s="570">
        <f>'BP2'!H15</f>
        <v>0</v>
      </c>
      <c r="AC9" s="572">
        <f>'BP2'!I15</f>
        <v>0</v>
      </c>
      <c r="AD9" s="572">
        <f>'BP2'!J15</f>
        <v>0</v>
      </c>
      <c r="AE9" s="570">
        <f>'BP3'!H15</f>
        <v>0</v>
      </c>
      <c r="AF9" s="572">
        <f>'BP3'!I15</f>
        <v>0</v>
      </c>
      <c r="AG9" s="572">
        <f>'BP3'!J15</f>
        <v>0</v>
      </c>
      <c r="AH9" s="570">
        <f>'BP4'!H15</f>
        <v>0</v>
      </c>
      <c r="AI9" s="572">
        <f>'BP4'!I15</f>
        <v>0</v>
      </c>
      <c r="AJ9" s="572">
        <f>'BP4'!J15</f>
        <v>0</v>
      </c>
      <c r="AK9" s="570">
        <f>'BP5'!H15</f>
        <v>0</v>
      </c>
      <c r="AL9" s="572">
        <f>'BP5'!I15</f>
        <v>0</v>
      </c>
      <c r="AM9" s="572">
        <f>'BP5'!J15</f>
        <v>0</v>
      </c>
      <c r="AN9" s="570">
        <f>Y9+AB9+AE9+AH9+AK9</f>
        <v>0</v>
      </c>
      <c r="AO9" s="572">
        <f>Z9+AC9+AF9+AI9+AL9</f>
        <v>0</v>
      </c>
      <c r="AP9" s="572">
        <f>AA9+AD9+AG9+AJ9+AM9</f>
        <v>0</v>
      </c>
      <c r="AR9" s="627"/>
      <c r="AS9" s="627"/>
      <c r="AT9" s="627"/>
      <c r="AU9" s="574">
        <f>'BP1'!M15</f>
        <v>0</v>
      </c>
      <c r="AV9" s="574">
        <f>'BP2'!M15</f>
        <v>0</v>
      </c>
      <c r="AW9" s="574">
        <f>'BP3'!M15</f>
        <v>0</v>
      </c>
      <c r="AX9" s="574">
        <f>'BP4'!M15</f>
        <v>0</v>
      </c>
      <c r="AY9" s="574">
        <f>'BP5'!M15</f>
        <v>0</v>
      </c>
      <c r="AZ9" s="574">
        <f>AU9+AV9+AW9+AX9+AY9</f>
        <v>0</v>
      </c>
    </row>
    <row r="10" spans="1:52">
      <c r="A10" s="76" t="str">
        <f>CONCATENATE(V10," Salary")</f>
        <v>Senior Personnel 2 Salary</v>
      </c>
      <c r="B10" s="393">
        <f>'BP1'!$K$16</f>
        <v>0</v>
      </c>
      <c r="C10" s="394">
        <f>'BP1'!$N$16</f>
        <v>0</v>
      </c>
      <c r="D10" s="395"/>
      <c r="E10" s="393">
        <f ca="1">'BP2'!$K$16</f>
        <v>0</v>
      </c>
      <c r="F10" s="394">
        <f ca="1">'BP2'!$N$16</f>
        <v>0</v>
      </c>
      <c r="G10" s="395"/>
      <c r="H10" s="393">
        <f ca="1">'BP3'!$K$16</f>
        <v>0</v>
      </c>
      <c r="I10" s="394">
        <f ca="1">'BP3'!$N$16</f>
        <v>0</v>
      </c>
      <c r="J10" s="395"/>
      <c r="K10" s="393">
        <f ca="1">'BP4'!$K$16</f>
        <v>0</v>
      </c>
      <c r="L10" s="394">
        <f ca="1">'BP4'!$N$16</f>
        <v>0</v>
      </c>
      <c r="M10" s="395"/>
      <c r="N10" s="393">
        <f ca="1">'BP5'!$K$16</f>
        <v>0</v>
      </c>
      <c r="O10" s="394">
        <f ca="1">'BP5'!$N$16</f>
        <v>0</v>
      </c>
      <c r="P10" s="395"/>
      <c r="Q10" s="393">
        <f t="shared" ca="1" si="0"/>
        <v>0</v>
      </c>
      <c r="R10" s="394">
        <f t="shared" ca="1" si="1"/>
        <v>0</v>
      </c>
      <c r="S10" s="67"/>
      <c r="T10" s="117" t="s">
        <v>219</v>
      </c>
      <c r="V10" s="592" t="str">
        <f>IF(ISBLANK('BP1'!$B$16),"Senior Personnel 2",""&amp;'BP1'!$B$16)</f>
        <v>Senior Personnel 2</v>
      </c>
      <c r="W10" s="593"/>
      <c r="X10" s="594"/>
      <c r="Y10" s="569" t="s">
        <v>2</v>
      </c>
      <c r="Z10" s="571" t="s">
        <v>198</v>
      </c>
      <c r="AA10" s="571" t="s">
        <v>199</v>
      </c>
      <c r="AB10" s="569" t="s">
        <v>2</v>
      </c>
      <c r="AC10" s="571" t="s">
        <v>198</v>
      </c>
      <c r="AD10" s="571" t="s">
        <v>199</v>
      </c>
      <c r="AE10" s="569" t="s">
        <v>2</v>
      </c>
      <c r="AF10" s="571" t="s">
        <v>198</v>
      </c>
      <c r="AG10" s="571" t="s">
        <v>199</v>
      </c>
      <c r="AH10" s="569" t="s">
        <v>2</v>
      </c>
      <c r="AI10" s="571" t="s">
        <v>198</v>
      </c>
      <c r="AJ10" s="571" t="s">
        <v>199</v>
      </c>
      <c r="AK10" s="569" t="s">
        <v>2</v>
      </c>
      <c r="AL10" s="571" t="s">
        <v>198</v>
      </c>
      <c r="AM10" s="571" t="s">
        <v>199</v>
      </c>
      <c r="AN10" s="569" t="s">
        <v>2</v>
      </c>
      <c r="AO10" s="571" t="s">
        <v>198</v>
      </c>
      <c r="AP10" s="571" t="s">
        <v>199</v>
      </c>
      <c r="AR10" s="627" t="str">
        <f>IF(ISBLANK('BP1'!$B$16),"Senior Personnel 2",""&amp;'BP1'!$B$16)</f>
        <v>Senior Personnel 2</v>
      </c>
      <c r="AS10" s="627"/>
      <c r="AT10" s="627"/>
      <c r="AU10" s="573" t="s">
        <v>288</v>
      </c>
      <c r="AV10" s="573" t="s">
        <v>288</v>
      </c>
      <c r="AW10" s="573" t="s">
        <v>288</v>
      </c>
      <c r="AX10" s="573" t="s">
        <v>288</v>
      </c>
      <c r="AY10" s="573" t="s">
        <v>288</v>
      </c>
      <c r="AZ10" s="573" t="s">
        <v>288</v>
      </c>
    </row>
    <row r="11" spans="1:52" ht="15.75" customHeight="1">
      <c r="A11" s="76" t="str">
        <f>CONCATENATE(V10," Fringe")</f>
        <v>Senior Personnel 2 Fringe</v>
      </c>
      <c r="B11" s="396">
        <f>'BP1'!$L$16</f>
        <v>0</v>
      </c>
      <c r="C11" s="397">
        <f>'BP1'!$O$16</f>
        <v>0</v>
      </c>
      <c r="D11" s="395"/>
      <c r="E11" s="396">
        <f ca="1">'BP2'!$L$16</f>
        <v>0</v>
      </c>
      <c r="F11" s="397">
        <f ca="1">'BP2'!$O$16</f>
        <v>0</v>
      </c>
      <c r="G11" s="395"/>
      <c r="H11" s="396">
        <f ca="1">'BP3'!$L$16</f>
        <v>0</v>
      </c>
      <c r="I11" s="397">
        <f ca="1">'BP3'!$O$16</f>
        <v>0</v>
      </c>
      <c r="J11" s="395"/>
      <c r="K11" s="396">
        <f ca="1">'BP4'!$L$16</f>
        <v>0</v>
      </c>
      <c r="L11" s="397">
        <f ca="1">'BP4'!$O$16</f>
        <v>0</v>
      </c>
      <c r="M11" s="395"/>
      <c r="N11" s="396">
        <f ca="1">'BP5'!$L$16</f>
        <v>0</v>
      </c>
      <c r="O11" s="397">
        <f ca="1">'BP5'!$O$16</f>
        <v>0</v>
      </c>
      <c r="P11" s="395"/>
      <c r="Q11" s="396">
        <f t="shared" ca="1" si="0"/>
        <v>0</v>
      </c>
      <c r="R11" s="397">
        <f t="shared" ca="1" si="1"/>
        <v>0</v>
      </c>
      <c r="S11" s="67"/>
      <c r="T11" s="117" t="s">
        <v>219</v>
      </c>
      <c r="V11" s="595"/>
      <c r="W11" s="596"/>
      <c r="X11" s="597"/>
      <c r="Y11" s="570">
        <f>'BP1'!H16</f>
        <v>0</v>
      </c>
      <c r="Z11" s="572">
        <f>'BP1'!I16</f>
        <v>0</v>
      </c>
      <c r="AA11" s="572">
        <f>'BP1'!J16</f>
        <v>0</v>
      </c>
      <c r="AB11" s="570">
        <f>'BP2'!H16</f>
        <v>0</v>
      </c>
      <c r="AC11" s="572">
        <f>'BP2'!I16</f>
        <v>0</v>
      </c>
      <c r="AD11" s="572">
        <f>'BP2'!J16</f>
        <v>0</v>
      </c>
      <c r="AE11" s="570">
        <f>'BP3'!H16</f>
        <v>0</v>
      </c>
      <c r="AF11" s="572">
        <f>'BP3'!I16</f>
        <v>0</v>
      </c>
      <c r="AG11" s="572">
        <f>'BP3'!J16</f>
        <v>0</v>
      </c>
      <c r="AH11" s="570">
        <f>'BP4'!H16</f>
        <v>0</v>
      </c>
      <c r="AI11" s="572">
        <f>'BP4'!I16</f>
        <v>0</v>
      </c>
      <c r="AJ11" s="572">
        <f>'BP4'!J16</f>
        <v>0</v>
      </c>
      <c r="AK11" s="570">
        <f>'BP5'!H16</f>
        <v>0</v>
      </c>
      <c r="AL11" s="572">
        <f>'BP5'!I16</f>
        <v>0</v>
      </c>
      <c r="AM11" s="572">
        <f>'BP5'!J16</f>
        <v>0</v>
      </c>
      <c r="AN11" s="570">
        <f>Y11+AB11+AE11+AH11+AK11</f>
        <v>0</v>
      </c>
      <c r="AO11" s="572">
        <f>Z11+AC11+AF11+AI11+AL11</f>
        <v>0</v>
      </c>
      <c r="AP11" s="572">
        <f>AA11+AD11+AG11+AJ11+AM11</f>
        <v>0</v>
      </c>
      <c r="AR11" s="627"/>
      <c r="AS11" s="627"/>
      <c r="AT11" s="627"/>
      <c r="AU11" s="574">
        <f>'BP1'!M16</f>
        <v>0</v>
      </c>
      <c r="AV11" s="574">
        <f>'BP2'!M16</f>
        <v>0</v>
      </c>
      <c r="AW11" s="574">
        <f>'BP3'!M16</f>
        <v>0</v>
      </c>
      <c r="AX11" s="574">
        <f>'BP4'!M16</f>
        <v>0</v>
      </c>
      <c r="AY11" s="574">
        <f>'BP5'!M16</f>
        <v>0</v>
      </c>
      <c r="AZ11" s="574">
        <f>AU11+AV11+AW11+AX11+AY11</f>
        <v>0</v>
      </c>
    </row>
    <row r="12" spans="1:52">
      <c r="A12" s="76" t="str">
        <f>CONCATENATE(V12," Salary")</f>
        <v>Senior Personnel 3 Salary</v>
      </c>
      <c r="B12" s="393">
        <f>'BP1'!$K$17</f>
        <v>0</v>
      </c>
      <c r="C12" s="394">
        <f>'BP1'!$N$17</f>
        <v>0</v>
      </c>
      <c r="D12" s="395"/>
      <c r="E12" s="393">
        <f ca="1">'BP2'!$K$17</f>
        <v>0</v>
      </c>
      <c r="F12" s="394">
        <f ca="1">'BP2'!$N$17</f>
        <v>0</v>
      </c>
      <c r="G12" s="395"/>
      <c r="H12" s="393">
        <f ca="1">'BP3'!$K$17</f>
        <v>0</v>
      </c>
      <c r="I12" s="394">
        <f ca="1">'BP3'!$N$17</f>
        <v>0</v>
      </c>
      <c r="J12" s="395"/>
      <c r="K12" s="393">
        <f ca="1">'BP4'!$K$17</f>
        <v>0</v>
      </c>
      <c r="L12" s="394">
        <f ca="1">'BP4'!$N$17</f>
        <v>0</v>
      </c>
      <c r="M12" s="395"/>
      <c r="N12" s="393">
        <f ca="1">'BP5'!$K$17</f>
        <v>0</v>
      </c>
      <c r="O12" s="394">
        <f ca="1">'BP5'!$N$17</f>
        <v>0</v>
      </c>
      <c r="P12" s="395"/>
      <c r="Q12" s="393">
        <f t="shared" ca="1" si="0"/>
        <v>0</v>
      </c>
      <c r="R12" s="394">
        <f t="shared" ca="1" si="1"/>
        <v>0</v>
      </c>
      <c r="S12" s="67"/>
      <c r="T12" s="117" t="s">
        <v>219</v>
      </c>
      <c r="V12" s="592" t="str">
        <f>IF(ISBLANK('BP1'!$B$17),"Senior Personnel 3",""&amp;'BP1'!$B$17)</f>
        <v>Senior Personnel 3</v>
      </c>
      <c r="W12" s="593"/>
      <c r="X12" s="594"/>
      <c r="Y12" s="569" t="s">
        <v>2</v>
      </c>
      <c r="Z12" s="571" t="s">
        <v>198</v>
      </c>
      <c r="AA12" s="571" t="s">
        <v>199</v>
      </c>
      <c r="AB12" s="569" t="s">
        <v>2</v>
      </c>
      <c r="AC12" s="571" t="s">
        <v>198</v>
      </c>
      <c r="AD12" s="571" t="s">
        <v>199</v>
      </c>
      <c r="AE12" s="569" t="s">
        <v>2</v>
      </c>
      <c r="AF12" s="571" t="s">
        <v>198</v>
      </c>
      <c r="AG12" s="571" t="s">
        <v>199</v>
      </c>
      <c r="AH12" s="569" t="s">
        <v>2</v>
      </c>
      <c r="AI12" s="571" t="s">
        <v>198</v>
      </c>
      <c r="AJ12" s="571" t="s">
        <v>199</v>
      </c>
      <c r="AK12" s="569" t="s">
        <v>2</v>
      </c>
      <c r="AL12" s="571" t="s">
        <v>198</v>
      </c>
      <c r="AM12" s="571" t="s">
        <v>199</v>
      </c>
      <c r="AN12" s="569" t="s">
        <v>2</v>
      </c>
      <c r="AO12" s="571" t="s">
        <v>198</v>
      </c>
      <c r="AP12" s="571" t="s">
        <v>199</v>
      </c>
      <c r="AR12" s="627" t="str">
        <f>IF(ISBLANK('BP1'!$B$17),"Senior Personnel 3",""&amp;'BP1'!$B$17)</f>
        <v>Senior Personnel 3</v>
      </c>
      <c r="AS12" s="627"/>
      <c r="AT12" s="627"/>
      <c r="AU12" s="573" t="s">
        <v>288</v>
      </c>
      <c r="AV12" s="573" t="s">
        <v>288</v>
      </c>
      <c r="AW12" s="573" t="s">
        <v>288</v>
      </c>
      <c r="AX12" s="573" t="s">
        <v>288</v>
      </c>
      <c r="AY12" s="573" t="s">
        <v>288</v>
      </c>
      <c r="AZ12" s="573" t="s">
        <v>288</v>
      </c>
    </row>
    <row r="13" spans="1:52" ht="15.75" customHeight="1">
      <c r="A13" s="76" t="str">
        <f>CONCATENATE(V12," Fringe")</f>
        <v>Senior Personnel 3 Fringe</v>
      </c>
      <c r="B13" s="396">
        <f>'BP1'!$L$17</f>
        <v>0</v>
      </c>
      <c r="C13" s="397">
        <f>'BP1'!$O$17</f>
        <v>0</v>
      </c>
      <c r="D13" s="395"/>
      <c r="E13" s="396">
        <f ca="1">'BP2'!$L$17</f>
        <v>0</v>
      </c>
      <c r="F13" s="397">
        <f ca="1">'BP2'!$O$17</f>
        <v>0</v>
      </c>
      <c r="G13" s="395"/>
      <c r="H13" s="396">
        <f ca="1">'BP3'!$L$17</f>
        <v>0</v>
      </c>
      <c r="I13" s="397">
        <f ca="1">'BP3'!$O$17</f>
        <v>0</v>
      </c>
      <c r="J13" s="395"/>
      <c r="K13" s="396">
        <f ca="1">'BP4'!$L$17</f>
        <v>0</v>
      </c>
      <c r="L13" s="397">
        <f ca="1">'BP4'!$O$17</f>
        <v>0</v>
      </c>
      <c r="M13" s="395"/>
      <c r="N13" s="396">
        <f ca="1">'BP5'!$L$17</f>
        <v>0</v>
      </c>
      <c r="O13" s="397">
        <f ca="1">'BP5'!$O$17</f>
        <v>0</v>
      </c>
      <c r="P13" s="395"/>
      <c r="Q13" s="396">
        <f t="shared" ca="1" si="0"/>
        <v>0</v>
      </c>
      <c r="R13" s="397">
        <f t="shared" ca="1" si="1"/>
        <v>0</v>
      </c>
      <c r="S13" s="67"/>
      <c r="T13" s="117" t="s">
        <v>219</v>
      </c>
      <c r="V13" s="595"/>
      <c r="W13" s="596"/>
      <c r="X13" s="597"/>
      <c r="Y13" s="570">
        <f>'BP1'!H17</f>
        <v>0</v>
      </c>
      <c r="Z13" s="572">
        <f>'BP1'!I17</f>
        <v>0</v>
      </c>
      <c r="AA13" s="572">
        <f>'BP1'!J17</f>
        <v>0</v>
      </c>
      <c r="AB13" s="570">
        <f>'BP2'!H17</f>
        <v>0</v>
      </c>
      <c r="AC13" s="572">
        <f>'BP2'!I17</f>
        <v>0</v>
      </c>
      <c r="AD13" s="572">
        <f>'BP2'!J17</f>
        <v>0</v>
      </c>
      <c r="AE13" s="570">
        <f>'BP3'!H17</f>
        <v>0</v>
      </c>
      <c r="AF13" s="572">
        <f>'BP3'!I17</f>
        <v>0</v>
      </c>
      <c r="AG13" s="572">
        <f>'BP3'!J17</f>
        <v>0</v>
      </c>
      <c r="AH13" s="570">
        <f>'BP4'!H17</f>
        <v>0</v>
      </c>
      <c r="AI13" s="572">
        <f>'BP4'!I17</f>
        <v>0</v>
      </c>
      <c r="AJ13" s="572">
        <f>'BP4'!J17</f>
        <v>0</v>
      </c>
      <c r="AK13" s="570">
        <f>'BP5'!H17</f>
        <v>0</v>
      </c>
      <c r="AL13" s="572">
        <f>'BP5'!I17</f>
        <v>0</v>
      </c>
      <c r="AM13" s="572">
        <f>'BP5'!J17</f>
        <v>0</v>
      </c>
      <c r="AN13" s="570">
        <f>Y13+AB13+AE13+AH13+AK13</f>
        <v>0</v>
      </c>
      <c r="AO13" s="572">
        <f>Z13+AC13+AF13+AI13+AL13</f>
        <v>0</v>
      </c>
      <c r="AP13" s="572">
        <f>AA13+AD13+AG13+AJ13+AM13</f>
        <v>0</v>
      </c>
      <c r="AR13" s="627"/>
      <c r="AS13" s="627"/>
      <c r="AT13" s="627"/>
      <c r="AU13" s="574">
        <f>'BP1'!M17</f>
        <v>0</v>
      </c>
      <c r="AV13" s="574">
        <f>'BP2'!M17</f>
        <v>0</v>
      </c>
      <c r="AW13" s="574">
        <f>'BP3'!M17</f>
        <v>0</v>
      </c>
      <c r="AX13" s="574">
        <f>'BP4'!M17</f>
        <v>0</v>
      </c>
      <c r="AY13" s="574">
        <f>'BP5'!M17</f>
        <v>0</v>
      </c>
      <c r="AZ13" s="574">
        <f>AU13+AV13+AW13+AX13+AY13</f>
        <v>0</v>
      </c>
    </row>
    <row r="14" spans="1:52">
      <c r="A14" s="76" t="str">
        <f>CONCATENATE(V14," Salary")</f>
        <v>Senior Personnel 4 Salary</v>
      </c>
      <c r="B14" s="393">
        <f>'BP1'!$K$18</f>
        <v>0</v>
      </c>
      <c r="C14" s="394">
        <f>'BP1'!$N$18</f>
        <v>0</v>
      </c>
      <c r="D14" s="395"/>
      <c r="E14" s="393">
        <f ca="1">'BP2'!$K$18</f>
        <v>0</v>
      </c>
      <c r="F14" s="394">
        <f ca="1">'BP2'!$N$18</f>
        <v>0</v>
      </c>
      <c r="G14" s="395"/>
      <c r="H14" s="393">
        <f ca="1">'BP3'!$K$18</f>
        <v>0</v>
      </c>
      <c r="I14" s="394">
        <f ca="1">'BP3'!$N$18</f>
        <v>0</v>
      </c>
      <c r="J14" s="395"/>
      <c r="K14" s="393">
        <f ca="1">'BP4'!$K$18</f>
        <v>0</v>
      </c>
      <c r="L14" s="394">
        <f ca="1">'BP4'!$N$18</f>
        <v>0</v>
      </c>
      <c r="M14" s="395"/>
      <c r="N14" s="393">
        <f ca="1">'BP5'!$K$18</f>
        <v>0</v>
      </c>
      <c r="O14" s="394">
        <f ca="1">'BP5'!$N$18</f>
        <v>0</v>
      </c>
      <c r="P14" s="395"/>
      <c r="Q14" s="393">
        <f t="shared" ca="1" si="0"/>
        <v>0</v>
      </c>
      <c r="R14" s="394">
        <f t="shared" ca="1" si="1"/>
        <v>0</v>
      </c>
      <c r="S14" s="67"/>
      <c r="T14" s="117" t="s">
        <v>219</v>
      </c>
      <c r="V14" s="592" t="str">
        <f>IF(ISBLANK('BP1'!$B$18),"Senior Personnel 4",""&amp;'BP1'!$B$18)</f>
        <v>Senior Personnel 4</v>
      </c>
      <c r="W14" s="593"/>
      <c r="X14" s="594"/>
      <c r="Y14" s="569" t="s">
        <v>2</v>
      </c>
      <c r="Z14" s="571" t="s">
        <v>198</v>
      </c>
      <c r="AA14" s="571" t="s">
        <v>199</v>
      </c>
      <c r="AB14" s="569" t="s">
        <v>2</v>
      </c>
      <c r="AC14" s="571" t="s">
        <v>198</v>
      </c>
      <c r="AD14" s="571" t="s">
        <v>199</v>
      </c>
      <c r="AE14" s="569" t="s">
        <v>2</v>
      </c>
      <c r="AF14" s="571" t="s">
        <v>198</v>
      </c>
      <c r="AG14" s="571" t="s">
        <v>199</v>
      </c>
      <c r="AH14" s="569" t="s">
        <v>2</v>
      </c>
      <c r="AI14" s="571" t="s">
        <v>198</v>
      </c>
      <c r="AJ14" s="571" t="s">
        <v>199</v>
      </c>
      <c r="AK14" s="569" t="s">
        <v>2</v>
      </c>
      <c r="AL14" s="571" t="s">
        <v>198</v>
      </c>
      <c r="AM14" s="571" t="s">
        <v>199</v>
      </c>
      <c r="AN14" s="569" t="s">
        <v>2</v>
      </c>
      <c r="AO14" s="571" t="s">
        <v>198</v>
      </c>
      <c r="AP14" s="571" t="s">
        <v>199</v>
      </c>
      <c r="AR14" s="627" t="str">
        <f>IF(ISBLANK('BP1'!$B$18),"Senior Personnel 4",""&amp;'BP1'!$B$18)</f>
        <v>Senior Personnel 4</v>
      </c>
      <c r="AS14" s="627"/>
      <c r="AT14" s="627"/>
      <c r="AU14" s="573" t="s">
        <v>288</v>
      </c>
      <c r="AV14" s="573" t="s">
        <v>288</v>
      </c>
      <c r="AW14" s="573" t="s">
        <v>288</v>
      </c>
      <c r="AX14" s="573" t="s">
        <v>288</v>
      </c>
      <c r="AY14" s="573" t="s">
        <v>288</v>
      </c>
      <c r="AZ14" s="573" t="s">
        <v>288</v>
      </c>
    </row>
    <row r="15" spans="1:52" ht="15.75" customHeight="1">
      <c r="A15" s="76" t="str">
        <f>CONCATENATE(V14," Fringe")</f>
        <v>Senior Personnel 4 Fringe</v>
      </c>
      <c r="B15" s="396">
        <f>'BP1'!$L$18</f>
        <v>0</v>
      </c>
      <c r="C15" s="397">
        <f>'BP1'!$O$18</f>
        <v>0</v>
      </c>
      <c r="D15" s="395"/>
      <c r="E15" s="396">
        <f ca="1">'BP2'!$L$18</f>
        <v>0</v>
      </c>
      <c r="F15" s="397">
        <f ca="1">'BP2'!$O$18</f>
        <v>0</v>
      </c>
      <c r="G15" s="395"/>
      <c r="H15" s="396">
        <f ca="1">'BP3'!$L$18</f>
        <v>0</v>
      </c>
      <c r="I15" s="397">
        <f ca="1">'BP3'!$O$18</f>
        <v>0</v>
      </c>
      <c r="J15" s="395"/>
      <c r="K15" s="396">
        <f ca="1">'BP4'!$L$18</f>
        <v>0</v>
      </c>
      <c r="L15" s="397">
        <f ca="1">'BP4'!$O$18</f>
        <v>0</v>
      </c>
      <c r="M15" s="395"/>
      <c r="N15" s="396">
        <f ca="1">'BP5'!$L$18</f>
        <v>0</v>
      </c>
      <c r="O15" s="397">
        <f ca="1">'BP5'!$O$18</f>
        <v>0</v>
      </c>
      <c r="P15" s="395"/>
      <c r="Q15" s="396">
        <f t="shared" ca="1" si="0"/>
        <v>0</v>
      </c>
      <c r="R15" s="397">
        <f t="shared" ca="1" si="1"/>
        <v>0</v>
      </c>
      <c r="S15" s="67"/>
      <c r="T15" s="117" t="s">
        <v>219</v>
      </c>
      <c r="V15" s="595"/>
      <c r="W15" s="596"/>
      <c r="X15" s="597"/>
      <c r="Y15" s="570">
        <f>'BP1'!H18</f>
        <v>0</v>
      </c>
      <c r="Z15" s="572">
        <f>'BP1'!I18</f>
        <v>0</v>
      </c>
      <c r="AA15" s="572">
        <f>'BP1'!J18</f>
        <v>0</v>
      </c>
      <c r="AB15" s="570">
        <f>'BP2'!H18</f>
        <v>0</v>
      </c>
      <c r="AC15" s="572">
        <f>'BP2'!I18</f>
        <v>0</v>
      </c>
      <c r="AD15" s="572">
        <f>'BP2'!J18</f>
        <v>0</v>
      </c>
      <c r="AE15" s="570">
        <f>'BP3'!H18</f>
        <v>0</v>
      </c>
      <c r="AF15" s="572">
        <f>'BP3'!I18</f>
        <v>0</v>
      </c>
      <c r="AG15" s="572">
        <f>'BP3'!J18</f>
        <v>0</v>
      </c>
      <c r="AH15" s="570">
        <f>'BP4'!H18</f>
        <v>0</v>
      </c>
      <c r="AI15" s="572">
        <f>'BP4'!I18</f>
        <v>0</v>
      </c>
      <c r="AJ15" s="572">
        <f>'BP4'!J18</f>
        <v>0</v>
      </c>
      <c r="AK15" s="570">
        <f>'BP5'!H18</f>
        <v>0</v>
      </c>
      <c r="AL15" s="572">
        <f>'BP5'!I18</f>
        <v>0</v>
      </c>
      <c r="AM15" s="572">
        <f>'BP5'!J18</f>
        <v>0</v>
      </c>
      <c r="AN15" s="570">
        <f>Y15+AB15+AE15+AH15+AK15</f>
        <v>0</v>
      </c>
      <c r="AO15" s="572">
        <f>Z15+AC15+AF15+AI15+AL15</f>
        <v>0</v>
      </c>
      <c r="AP15" s="572">
        <f>AA15+AD15+AG15+AJ15+AM15</f>
        <v>0</v>
      </c>
      <c r="AR15" s="627"/>
      <c r="AS15" s="627"/>
      <c r="AT15" s="627"/>
      <c r="AU15" s="574">
        <f>'BP1'!M18</f>
        <v>0</v>
      </c>
      <c r="AV15" s="574">
        <f>'BP2'!M18</f>
        <v>0</v>
      </c>
      <c r="AW15" s="574">
        <f>'BP3'!M18</f>
        <v>0</v>
      </c>
      <c r="AX15" s="574">
        <f>'BP4'!M18</f>
        <v>0</v>
      </c>
      <c r="AY15" s="574">
        <f>'BP5'!M18</f>
        <v>0</v>
      </c>
      <c r="AZ15" s="574">
        <f>AU15+AV15+AW15+AX15+AY15</f>
        <v>0</v>
      </c>
    </row>
    <row r="16" spans="1:52">
      <c r="A16" s="76" t="str">
        <f>CONCATENATE(V16," Salary")</f>
        <v>Senior Personnel 5 Salary</v>
      </c>
      <c r="B16" s="393">
        <f>'BP1'!$K$19</f>
        <v>0</v>
      </c>
      <c r="C16" s="394">
        <f>'BP1'!$N$19</f>
        <v>0</v>
      </c>
      <c r="D16" s="395"/>
      <c r="E16" s="393">
        <f ca="1">'BP2'!$K$19</f>
        <v>0</v>
      </c>
      <c r="F16" s="394">
        <f ca="1">'BP2'!$N$19</f>
        <v>0</v>
      </c>
      <c r="G16" s="395"/>
      <c r="H16" s="393">
        <f ca="1">'BP3'!$K$19</f>
        <v>0</v>
      </c>
      <c r="I16" s="394">
        <f ca="1">'BP3'!$N$19</f>
        <v>0</v>
      </c>
      <c r="J16" s="395"/>
      <c r="K16" s="393">
        <f ca="1">'BP4'!$K$19</f>
        <v>0</v>
      </c>
      <c r="L16" s="394">
        <f ca="1">'BP4'!$N$19</f>
        <v>0</v>
      </c>
      <c r="M16" s="395"/>
      <c r="N16" s="393">
        <f ca="1">'BP5'!$K$19</f>
        <v>0</v>
      </c>
      <c r="O16" s="394">
        <f ca="1">'BP5'!$N$19</f>
        <v>0</v>
      </c>
      <c r="P16" s="395"/>
      <c r="Q16" s="393">
        <f t="shared" ca="1" si="0"/>
        <v>0</v>
      </c>
      <c r="R16" s="394">
        <f t="shared" ca="1" si="1"/>
        <v>0</v>
      </c>
      <c r="S16" s="67"/>
      <c r="T16" s="117" t="s">
        <v>219</v>
      </c>
      <c r="V16" s="592" t="str">
        <f>IF(ISBLANK('BP1'!$B$19),"Senior Personnel 5",""&amp;'BP1'!$B$19)</f>
        <v>Senior Personnel 5</v>
      </c>
      <c r="W16" s="593"/>
      <c r="X16" s="594"/>
      <c r="Y16" s="569" t="s">
        <v>2</v>
      </c>
      <c r="Z16" s="571" t="s">
        <v>198</v>
      </c>
      <c r="AA16" s="571" t="s">
        <v>199</v>
      </c>
      <c r="AB16" s="569" t="s">
        <v>2</v>
      </c>
      <c r="AC16" s="571" t="s">
        <v>198</v>
      </c>
      <c r="AD16" s="571" t="s">
        <v>199</v>
      </c>
      <c r="AE16" s="569" t="s">
        <v>2</v>
      </c>
      <c r="AF16" s="571" t="s">
        <v>198</v>
      </c>
      <c r="AG16" s="571" t="s">
        <v>199</v>
      </c>
      <c r="AH16" s="569" t="s">
        <v>2</v>
      </c>
      <c r="AI16" s="571" t="s">
        <v>198</v>
      </c>
      <c r="AJ16" s="571" t="s">
        <v>199</v>
      </c>
      <c r="AK16" s="569" t="s">
        <v>2</v>
      </c>
      <c r="AL16" s="571" t="s">
        <v>198</v>
      </c>
      <c r="AM16" s="571" t="s">
        <v>199</v>
      </c>
      <c r="AN16" s="569" t="s">
        <v>2</v>
      </c>
      <c r="AO16" s="571" t="s">
        <v>198</v>
      </c>
      <c r="AP16" s="571" t="s">
        <v>199</v>
      </c>
      <c r="AR16" s="627" t="str">
        <f>IF(ISBLANK('BP1'!$B$19),"Senior Personnel 5",""&amp;'BP1'!$B$19)</f>
        <v>Senior Personnel 5</v>
      </c>
      <c r="AS16" s="627"/>
      <c r="AT16" s="627"/>
      <c r="AU16" s="573" t="s">
        <v>288</v>
      </c>
      <c r="AV16" s="573" t="s">
        <v>288</v>
      </c>
      <c r="AW16" s="573" t="s">
        <v>288</v>
      </c>
      <c r="AX16" s="573" t="s">
        <v>288</v>
      </c>
      <c r="AY16" s="573" t="s">
        <v>288</v>
      </c>
      <c r="AZ16" s="573" t="s">
        <v>288</v>
      </c>
    </row>
    <row r="17" spans="1:52" ht="15.75" customHeight="1">
      <c r="A17" s="76" t="str">
        <f>CONCATENATE(V16," Fringe")</f>
        <v>Senior Personnel 5 Fringe</v>
      </c>
      <c r="B17" s="396">
        <f>'BP1'!$L$19</f>
        <v>0</v>
      </c>
      <c r="C17" s="397">
        <f>'BP1'!$O$19</f>
        <v>0</v>
      </c>
      <c r="D17" s="395"/>
      <c r="E17" s="396">
        <f ca="1">'BP2'!$L$19</f>
        <v>0</v>
      </c>
      <c r="F17" s="397">
        <f ca="1">'BP2'!$O$19</f>
        <v>0</v>
      </c>
      <c r="G17" s="395"/>
      <c r="H17" s="396">
        <f ca="1">'BP3'!$L$19</f>
        <v>0</v>
      </c>
      <c r="I17" s="397">
        <f ca="1">'BP3'!$O$19</f>
        <v>0</v>
      </c>
      <c r="J17" s="395"/>
      <c r="K17" s="396">
        <f ca="1">'BP4'!$L$19</f>
        <v>0</v>
      </c>
      <c r="L17" s="397">
        <f ca="1">'BP4'!$O$19</f>
        <v>0</v>
      </c>
      <c r="M17" s="395"/>
      <c r="N17" s="396">
        <f ca="1">'BP5'!$L$19</f>
        <v>0</v>
      </c>
      <c r="O17" s="397">
        <f ca="1">'BP5'!$O$19</f>
        <v>0</v>
      </c>
      <c r="P17" s="395"/>
      <c r="Q17" s="396">
        <f t="shared" ca="1" si="0"/>
        <v>0</v>
      </c>
      <c r="R17" s="397">
        <f t="shared" ca="1" si="1"/>
        <v>0</v>
      </c>
      <c r="S17" s="67"/>
      <c r="T17" s="117" t="s">
        <v>219</v>
      </c>
      <c r="V17" s="595"/>
      <c r="W17" s="596"/>
      <c r="X17" s="597"/>
      <c r="Y17" s="570">
        <f>'BP1'!H19</f>
        <v>0</v>
      </c>
      <c r="Z17" s="572">
        <f>'BP1'!I19</f>
        <v>0</v>
      </c>
      <c r="AA17" s="572">
        <f>'BP1'!J19</f>
        <v>0</v>
      </c>
      <c r="AB17" s="570">
        <f>'BP2'!H19</f>
        <v>0</v>
      </c>
      <c r="AC17" s="572">
        <f>'BP2'!I19</f>
        <v>0</v>
      </c>
      <c r="AD17" s="572">
        <f>'BP2'!J19</f>
        <v>0</v>
      </c>
      <c r="AE17" s="570">
        <f>'BP3'!H19</f>
        <v>0</v>
      </c>
      <c r="AF17" s="572">
        <f>'BP3'!I19</f>
        <v>0</v>
      </c>
      <c r="AG17" s="572">
        <f>'BP3'!J19</f>
        <v>0</v>
      </c>
      <c r="AH17" s="570">
        <f>'BP4'!H19</f>
        <v>0</v>
      </c>
      <c r="AI17" s="572">
        <f>'BP4'!I19</f>
        <v>0</v>
      </c>
      <c r="AJ17" s="572">
        <f>'BP4'!J19</f>
        <v>0</v>
      </c>
      <c r="AK17" s="570">
        <f>'BP5'!H19</f>
        <v>0</v>
      </c>
      <c r="AL17" s="572">
        <f>'BP5'!I19</f>
        <v>0</v>
      </c>
      <c r="AM17" s="572">
        <f>'BP5'!J19</f>
        <v>0</v>
      </c>
      <c r="AN17" s="570">
        <f>Y17+AB17+AE17+AH17+AK17</f>
        <v>0</v>
      </c>
      <c r="AO17" s="572">
        <f>Z17+AC17+AF17+AI17+AL17</f>
        <v>0</v>
      </c>
      <c r="AP17" s="572">
        <f>AA17+AD17+AG17+AJ17+AM17</f>
        <v>0</v>
      </c>
      <c r="AR17" s="627"/>
      <c r="AS17" s="627"/>
      <c r="AT17" s="627"/>
      <c r="AU17" s="574">
        <f>'BP1'!M19</f>
        <v>0</v>
      </c>
      <c r="AV17" s="574">
        <f>'BP2'!M19</f>
        <v>0</v>
      </c>
      <c r="AW17" s="574">
        <f>'BP3'!M19</f>
        <v>0</v>
      </c>
      <c r="AX17" s="574">
        <f>'BP4'!M19</f>
        <v>0</v>
      </c>
      <c r="AY17" s="574">
        <f>'BP5'!M19</f>
        <v>0</v>
      </c>
      <c r="AZ17" s="574">
        <f>AU17+AV17+AW17+AX17+AY17</f>
        <v>0</v>
      </c>
    </row>
    <row r="18" spans="1:52" ht="15.75" hidden="1" customHeight="1">
      <c r="A18" s="76" t="str">
        <f>CONCATENATE(V18," Salary")</f>
        <v>Senior Personnel 6 Salary</v>
      </c>
      <c r="B18" s="393">
        <f>'BP1'!$K$20</f>
        <v>0</v>
      </c>
      <c r="C18" s="394">
        <f>'BP1'!$N$20</f>
        <v>0</v>
      </c>
      <c r="D18" s="395"/>
      <c r="E18" s="393">
        <f ca="1">'BP2'!$K$20</f>
        <v>0</v>
      </c>
      <c r="F18" s="394">
        <f ca="1">'BP2'!$N$20</f>
        <v>0</v>
      </c>
      <c r="G18" s="395"/>
      <c r="H18" s="393">
        <f ca="1">'BP3'!$K$20</f>
        <v>0</v>
      </c>
      <c r="I18" s="394">
        <f ca="1">'BP3'!$N$20</f>
        <v>0</v>
      </c>
      <c r="J18" s="395"/>
      <c r="K18" s="393">
        <f ca="1">'BP4'!$K$20</f>
        <v>0</v>
      </c>
      <c r="L18" s="394">
        <f ca="1">'BP4'!$N$20</f>
        <v>0</v>
      </c>
      <c r="M18" s="395"/>
      <c r="N18" s="393">
        <f ca="1">'BP5'!$K$20</f>
        <v>0</v>
      </c>
      <c r="O18" s="394">
        <f ca="1">'BP5'!$N$20</f>
        <v>0</v>
      </c>
      <c r="P18" s="395"/>
      <c r="Q18" s="393">
        <f t="shared" ca="1" si="0"/>
        <v>0</v>
      </c>
      <c r="R18" s="394">
        <f t="shared" ca="1" si="1"/>
        <v>0</v>
      </c>
      <c r="S18" s="67"/>
      <c r="T18" s="117" t="s">
        <v>485</v>
      </c>
      <c r="V18" s="592" t="str">
        <f>IF(ISBLANK('BP1'!$B$20),"Senior Personnel 6",""&amp;'BP1'!$B$20)</f>
        <v>Senior Personnel 6</v>
      </c>
      <c r="W18" s="593"/>
      <c r="X18" s="594"/>
      <c r="Y18" s="569" t="s">
        <v>2</v>
      </c>
      <c r="Z18" s="571" t="s">
        <v>198</v>
      </c>
      <c r="AA18" s="571" t="s">
        <v>199</v>
      </c>
      <c r="AB18" s="569" t="s">
        <v>2</v>
      </c>
      <c r="AC18" s="571" t="s">
        <v>198</v>
      </c>
      <c r="AD18" s="571" t="s">
        <v>199</v>
      </c>
      <c r="AE18" s="569" t="s">
        <v>2</v>
      </c>
      <c r="AF18" s="571" t="s">
        <v>198</v>
      </c>
      <c r="AG18" s="571" t="s">
        <v>199</v>
      </c>
      <c r="AH18" s="569" t="s">
        <v>2</v>
      </c>
      <c r="AI18" s="571" t="s">
        <v>198</v>
      </c>
      <c r="AJ18" s="571" t="s">
        <v>199</v>
      </c>
      <c r="AK18" s="569" t="s">
        <v>2</v>
      </c>
      <c r="AL18" s="571" t="s">
        <v>198</v>
      </c>
      <c r="AM18" s="571" t="s">
        <v>199</v>
      </c>
      <c r="AN18" s="569" t="s">
        <v>2</v>
      </c>
      <c r="AO18" s="571" t="s">
        <v>198</v>
      </c>
      <c r="AP18" s="571" t="s">
        <v>199</v>
      </c>
      <c r="AR18" s="627" t="str">
        <f>IF(ISBLANK('BP1'!$B$20),"Senior Personnel 6",""&amp;'BP1'!$B$20)</f>
        <v>Senior Personnel 6</v>
      </c>
      <c r="AS18" s="627"/>
      <c r="AT18" s="627"/>
      <c r="AU18" s="573" t="s">
        <v>288</v>
      </c>
      <c r="AV18" s="573" t="s">
        <v>288</v>
      </c>
      <c r="AW18" s="573" t="s">
        <v>288</v>
      </c>
      <c r="AX18" s="573" t="s">
        <v>288</v>
      </c>
      <c r="AY18" s="573" t="s">
        <v>288</v>
      </c>
      <c r="AZ18" s="573" t="s">
        <v>288</v>
      </c>
    </row>
    <row r="19" spans="1:52" ht="15.75" hidden="1" customHeight="1">
      <c r="A19" s="76" t="str">
        <f>CONCATENATE(V18," Fringe")</f>
        <v>Senior Personnel 6 Fringe</v>
      </c>
      <c r="B19" s="396">
        <f>'BP1'!$L$20</f>
        <v>0</v>
      </c>
      <c r="C19" s="397">
        <f>'BP1'!$O$20</f>
        <v>0</v>
      </c>
      <c r="D19" s="395"/>
      <c r="E19" s="396">
        <f ca="1">'BP2'!$L$20</f>
        <v>0</v>
      </c>
      <c r="F19" s="397">
        <f ca="1">'BP2'!$O$20</f>
        <v>0</v>
      </c>
      <c r="G19" s="395"/>
      <c r="H19" s="396">
        <f ca="1">'BP3'!$L$20</f>
        <v>0</v>
      </c>
      <c r="I19" s="397">
        <f ca="1">'BP3'!$O$20</f>
        <v>0</v>
      </c>
      <c r="J19" s="395"/>
      <c r="K19" s="396">
        <f ca="1">'BP4'!$L$20</f>
        <v>0</v>
      </c>
      <c r="L19" s="397">
        <f ca="1">'BP4'!$O$20</f>
        <v>0</v>
      </c>
      <c r="M19" s="395"/>
      <c r="N19" s="396">
        <f ca="1">'BP5'!$L$20</f>
        <v>0</v>
      </c>
      <c r="O19" s="397">
        <f ca="1">'BP5'!$O$20</f>
        <v>0</v>
      </c>
      <c r="P19" s="395"/>
      <c r="Q19" s="396">
        <f t="shared" ca="1" si="0"/>
        <v>0</v>
      </c>
      <c r="R19" s="397">
        <f t="shared" ca="1" si="1"/>
        <v>0</v>
      </c>
      <c r="S19" s="67"/>
      <c r="T19" s="117" t="s">
        <v>485</v>
      </c>
      <c r="V19" s="595"/>
      <c r="W19" s="596"/>
      <c r="X19" s="597"/>
      <c r="Y19" s="570">
        <f>'BP1'!H20</f>
        <v>0</v>
      </c>
      <c r="Z19" s="572">
        <f>'BP1'!I20</f>
        <v>0</v>
      </c>
      <c r="AA19" s="572">
        <f>'BP1'!J20</f>
        <v>0</v>
      </c>
      <c r="AB19" s="570">
        <f>'BP2'!H20</f>
        <v>0</v>
      </c>
      <c r="AC19" s="572">
        <f>'BP2'!I20</f>
        <v>0</v>
      </c>
      <c r="AD19" s="572">
        <f>'BP2'!J20</f>
        <v>0</v>
      </c>
      <c r="AE19" s="570">
        <f>'BP3'!H20</f>
        <v>0</v>
      </c>
      <c r="AF19" s="572">
        <f>'BP3'!I20</f>
        <v>0</v>
      </c>
      <c r="AG19" s="572">
        <f>'BP3'!J20</f>
        <v>0</v>
      </c>
      <c r="AH19" s="570">
        <f>'BP4'!H20</f>
        <v>0</v>
      </c>
      <c r="AI19" s="572">
        <f>'BP4'!I20</f>
        <v>0</v>
      </c>
      <c r="AJ19" s="572">
        <f>'BP4'!J20</f>
        <v>0</v>
      </c>
      <c r="AK19" s="570">
        <f>'BP5'!H20</f>
        <v>0</v>
      </c>
      <c r="AL19" s="572">
        <f>'BP5'!I20</f>
        <v>0</v>
      </c>
      <c r="AM19" s="572">
        <f>'BP5'!J20</f>
        <v>0</v>
      </c>
      <c r="AN19" s="570">
        <f>Y19+AB19+AE19+AH19+AK19</f>
        <v>0</v>
      </c>
      <c r="AO19" s="572">
        <f>Z19+AC19+AF19+AI19+AL19</f>
        <v>0</v>
      </c>
      <c r="AP19" s="572">
        <f>AA19+AD19+AG19+AJ19+AM19</f>
        <v>0</v>
      </c>
      <c r="AR19" s="627"/>
      <c r="AS19" s="627"/>
      <c r="AT19" s="627"/>
      <c r="AU19" s="574">
        <f>'BP1'!M20</f>
        <v>0</v>
      </c>
      <c r="AV19" s="574">
        <f>'BP2'!M20</f>
        <v>0</v>
      </c>
      <c r="AW19" s="574">
        <f>'BP3'!M20</f>
        <v>0</v>
      </c>
      <c r="AX19" s="574">
        <f>'BP4'!M20</f>
        <v>0</v>
      </c>
      <c r="AY19" s="574">
        <f>'BP5'!M20</f>
        <v>0</v>
      </c>
      <c r="AZ19" s="574">
        <f>AU19+AV19+AW19+AX19+AY19</f>
        <v>0</v>
      </c>
    </row>
    <row r="20" spans="1:52" ht="15.75" hidden="1" customHeight="1">
      <c r="A20" s="76" t="str">
        <f>CONCATENATE(V20," Salary")</f>
        <v>Senior Personnel 7 Salary</v>
      </c>
      <c r="B20" s="393">
        <f>'BP1'!$K$21</f>
        <v>0</v>
      </c>
      <c r="C20" s="394">
        <f>'BP1'!$N$21</f>
        <v>0</v>
      </c>
      <c r="D20" s="395"/>
      <c r="E20" s="393">
        <f ca="1">'BP2'!$K$21</f>
        <v>0</v>
      </c>
      <c r="F20" s="394">
        <f ca="1">'BP2'!$N$21</f>
        <v>0</v>
      </c>
      <c r="G20" s="395"/>
      <c r="H20" s="393">
        <f ca="1">'BP3'!$K$21</f>
        <v>0</v>
      </c>
      <c r="I20" s="394">
        <f ca="1">'BP3'!$N$21</f>
        <v>0</v>
      </c>
      <c r="J20" s="395"/>
      <c r="K20" s="393">
        <f ca="1">'BP4'!$K$21</f>
        <v>0</v>
      </c>
      <c r="L20" s="394">
        <f ca="1">'BP4'!$N$21</f>
        <v>0</v>
      </c>
      <c r="M20" s="395"/>
      <c r="N20" s="393">
        <f ca="1">'BP5'!$K$21</f>
        <v>0</v>
      </c>
      <c r="O20" s="394">
        <f ca="1">'BP5'!$N$21</f>
        <v>0</v>
      </c>
      <c r="P20" s="395"/>
      <c r="Q20" s="393">
        <f t="shared" ca="1" si="0"/>
        <v>0</v>
      </c>
      <c r="R20" s="394">
        <f t="shared" ca="1" si="1"/>
        <v>0</v>
      </c>
      <c r="S20" s="67"/>
      <c r="T20" s="117" t="s">
        <v>485</v>
      </c>
      <c r="V20" s="592" t="str">
        <f>IF(ISBLANK('BP1'!$B$21),"Senior Personnel 7",""&amp;'BP1'!$B$21)</f>
        <v>Senior Personnel 7</v>
      </c>
      <c r="W20" s="593"/>
      <c r="X20" s="594"/>
      <c r="Y20" s="569" t="s">
        <v>2</v>
      </c>
      <c r="Z20" s="571" t="s">
        <v>198</v>
      </c>
      <c r="AA20" s="571" t="s">
        <v>199</v>
      </c>
      <c r="AB20" s="569" t="s">
        <v>2</v>
      </c>
      <c r="AC20" s="571" t="s">
        <v>198</v>
      </c>
      <c r="AD20" s="571" t="s">
        <v>199</v>
      </c>
      <c r="AE20" s="569" t="s">
        <v>2</v>
      </c>
      <c r="AF20" s="571" t="s">
        <v>198</v>
      </c>
      <c r="AG20" s="571" t="s">
        <v>199</v>
      </c>
      <c r="AH20" s="569" t="s">
        <v>2</v>
      </c>
      <c r="AI20" s="571" t="s">
        <v>198</v>
      </c>
      <c r="AJ20" s="571" t="s">
        <v>199</v>
      </c>
      <c r="AK20" s="569" t="s">
        <v>2</v>
      </c>
      <c r="AL20" s="571" t="s">
        <v>198</v>
      </c>
      <c r="AM20" s="571" t="s">
        <v>199</v>
      </c>
      <c r="AN20" s="569" t="s">
        <v>2</v>
      </c>
      <c r="AO20" s="571" t="s">
        <v>198</v>
      </c>
      <c r="AP20" s="571" t="s">
        <v>199</v>
      </c>
      <c r="AR20" s="627" t="str">
        <f>IF(ISBLANK('BP1'!$B$21),"Senior Personnel 7",""&amp;'BP1'!$B$21)</f>
        <v>Senior Personnel 7</v>
      </c>
      <c r="AS20" s="627"/>
      <c r="AT20" s="627"/>
      <c r="AU20" s="573" t="s">
        <v>288</v>
      </c>
      <c r="AV20" s="573" t="s">
        <v>288</v>
      </c>
      <c r="AW20" s="573" t="s">
        <v>288</v>
      </c>
      <c r="AX20" s="573" t="s">
        <v>288</v>
      </c>
      <c r="AY20" s="573" t="s">
        <v>288</v>
      </c>
      <c r="AZ20" s="573" t="s">
        <v>288</v>
      </c>
    </row>
    <row r="21" spans="1:52" ht="15.75" hidden="1" customHeight="1">
      <c r="A21" s="76" t="str">
        <f>CONCATENATE(V20," Fringe")</f>
        <v>Senior Personnel 7 Fringe</v>
      </c>
      <c r="B21" s="396">
        <f>'BP1'!$L$21</f>
        <v>0</v>
      </c>
      <c r="C21" s="397">
        <f>'BP1'!$O$21</f>
        <v>0</v>
      </c>
      <c r="D21" s="395"/>
      <c r="E21" s="396">
        <f ca="1">'BP2'!$L$21</f>
        <v>0</v>
      </c>
      <c r="F21" s="397">
        <f ca="1">'BP2'!$O$21</f>
        <v>0</v>
      </c>
      <c r="G21" s="395"/>
      <c r="H21" s="396">
        <f ca="1">'BP3'!$L$21</f>
        <v>0</v>
      </c>
      <c r="I21" s="397">
        <f ca="1">'BP3'!$O$21</f>
        <v>0</v>
      </c>
      <c r="J21" s="395"/>
      <c r="K21" s="396">
        <f ca="1">'BP4'!$L$21</f>
        <v>0</v>
      </c>
      <c r="L21" s="397">
        <f ca="1">'BP4'!$O$21</f>
        <v>0</v>
      </c>
      <c r="M21" s="395"/>
      <c r="N21" s="396">
        <f ca="1">'BP5'!$L$21</f>
        <v>0</v>
      </c>
      <c r="O21" s="397">
        <f ca="1">'BP5'!$O$21</f>
        <v>0</v>
      </c>
      <c r="P21" s="395"/>
      <c r="Q21" s="396">
        <f t="shared" ca="1" si="0"/>
        <v>0</v>
      </c>
      <c r="R21" s="397">
        <f t="shared" ca="1" si="1"/>
        <v>0</v>
      </c>
      <c r="S21" s="67"/>
      <c r="T21" s="117" t="s">
        <v>485</v>
      </c>
      <c r="V21" s="595"/>
      <c r="W21" s="596"/>
      <c r="X21" s="597"/>
      <c r="Y21" s="570">
        <f>'BP1'!H21</f>
        <v>0</v>
      </c>
      <c r="Z21" s="572">
        <f>'BP1'!I21</f>
        <v>0</v>
      </c>
      <c r="AA21" s="572">
        <f>'BP1'!J21</f>
        <v>0</v>
      </c>
      <c r="AB21" s="570">
        <f>'BP2'!H21</f>
        <v>0</v>
      </c>
      <c r="AC21" s="572">
        <f>'BP2'!I21</f>
        <v>0</v>
      </c>
      <c r="AD21" s="572">
        <f>'BP2'!J21</f>
        <v>0</v>
      </c>
      <c r="AE21" s="570">
        <f>'BP3'!H21</f>
        <v>0</v>
      </c>
      <c r="AF21" s="572">
        <f>'BP3'!I21</f>
        <v>0</v>
      </c>
      <c r="AG21" s="572">
        <f>'BP3'!J21</f>
        <v>0</v>
      </c>
      <c r="AH21" s="570">
        <f>'BP4'!H21</f>
        <v>0</v>
      </c>
      <c r="AI21" s="572">
        <f>'BP4'!I21</f>
        <v>0</v>
      </c>
      <c r="AJ21" s="572">
        <f>'BP4'!J21</f>
        <v>0</v>
      </c>
      <c r="AK21" s="570">
        <f>'BP5'!H21</f>
        <v>0</v>
      </c>
      <c r="AL21" s="572">
        <f>'BP5'!I21</f>
        <v>0</v>
      </c>
      <c r="AM21" s="572">
        <f>'BP5'!J21</f>
        <v>0</v>
      </c>
      <c r="AN21" s="570">
        <f>Y21+AB21+AE21+AH21+AK21</f>
        <v>0</v>
      </c>
      <c r="AO21" s="572">
        <f>Z21+AC21+AF21+AI21+AL21</f>
        <v>0</v>
      </c>
      <c r="AP21" s="572">
        <f>AA21+AD21+AG21+AJ21+AM21</f>
        <v>0</v>
      </c>
      <c r="AR21" s="627"/>
      <c r="AS21" s="627"/>
      <c r="AT21" s="627"/>
      <c r="AU21" s="574">
        <f>'BP1'!M21</f>
        <v>0</v>
      </c>
      <c r="AV21" s="574">
        <f>'BP2'!M21</f>
        <v>0</v>
      </c>
      <c r="AW21" s="574">
        <f>'BP3'!M21</f>
        <v>0</v>
      </c>
      <c r="AX21" s="574">
        <f>'BP4'!M21</f>
        <v>0</v>
      </c>
      <c r="AY21" s="574">
        <f>'BP5'!M21</f>
        <v>0</v>
      </c>
      <c r="AZ21" s="574">
        <f>AU21+AV21+AW21+AX21+AY21</f>
        <v>0</v>
      </c>
    </row>
    <row r="22" spans="1:52" ht="15.75" hidden="1" customHeight="1">
      <c r="A22" s="76" t="str">
        <f>CONCATENATE(V22," Salary")</f>
        <v>Senior Personnel 8 Salary</v>
      </c>
      <c r="B22" s="393">
        <f>'BP1'!$K$22</f>
        <v>0</v>
      </c>
      <c r="C22" s="394">
        <f>'BP1'!$N$22</f>
        <v>0</v>
      </c>
      <c r="D22" s="395"/>
      <c r="E22" s="393">
        <f ca="1">'BP2'!$K$22</f>
        <v>0</v>
      </c>
      <c r="F22" s="394">
        <f ca="1">'BP2'!$N$22</f>
        <v>0</v>
      </c>
      <c r="G22" s="395"/>
      <c r="H22" s="393">
        <f ca="1">'BP3'!$K$22</f>
        <v>0</v>
      </c>
      <c r="I22" s="394">
        <f ca="1">'BP3'!$N$22</f>
        <v>0</v>
      </c>
      <c r="J22" s="395"/>
      <c r="K22" s="393">
        <f ca="1">'BP4'!$K$22</f>
        <v>0</v>
      </c>
      <c r="L22" s="394">
        <f ca="1">'BP4'!$N$22</f>
        <v>0</v>
      </c>
      <c r="M22" s="395"/>
      <c r="N22" s="393">
        <f ca="1">'BP5'!$K$22</f>
        <v>0</v>
      </c>
      <c r="O22" s="394">
        <f ca="1">'BP5'!$N$22</f>
        <v>0</v>
      </c>
      <c r="P22" s="395"/>
      <c r="Q22" s="393">
        <f t="shared" ca="1" si="0"/>
        <v>0</v>
      </c>
      <c r="R22" s="394">
        <f t="shared" ca="1" si="1"/>
        <v>0</v>
      </c>
      <c r="S22" s="67"/>
      <c r="T22" s="117" t="s">
        <v>485</v>
      </c>
      <c r="V22" s="592" t="str">
        <f>IF(ISBLANK('BP1'!$B$22),"Senior Personnel 8",""&amp;'BP1'!$B$22)</f>
        <v>Senior Personnel 8</v>
      </c>
      <c r="W22" s="593"/>
      <c r="X22" s="594"/>
      <c r="Y22" s="569" t="s">
        <v>2</v>
      </c>
      <c r="Z22" s="571" t="s">
        <v>198</v>
      </c>
      <c r="AA22" s="571" t="s">
        <v>199</v>
      </c>
      <c r="AB22" s="569" t="s">
        <v>2</v>
      </c>
      <c r="AC22" s="571" t="s">
        <v>198</v>
      </c>
      <c r="AD22" s="571" t="s">
        <v>199</v>
      </c>
      <c r="AE22" s="569" t="s">
        <v>2</v>
      </c>
      <c r="AF22" s="571" t="s">
        <v>198</v>
      </c>
      <c r="AG22" s="571" t="s">
        <v>199</v>
      </c>
      <c r="AH22" s="569" t="s">
        <v>2</v>
      </c>
      <c r="AI22" s="571" t="s">
        <v>198</v>
      </c>
      <c r="AJ22" s="571" t="s">
        <v>199</v>
      </c>
      <c r="AK22" s="569" t="s">
        <v>2</v>
      </c>
      <c r="AL22" s="571" t="s">
        <v>198</v>
      </c>
      <c r="AM22" s="571" t="s">
        <v>199</v>
      </c>
      <c r="AN22" s="569" t="s">
        <v>2</v>
      </c>
      <c r="AO22" s="571" t="s">
        <v>198</v>
      </c>
      <c r="AP22" s="571" t="s">
        <v>199</v>
      </c>
      <c r="AR22" s="627" t="str">
        <f>IF(ISBLANK('BP1'!$B$22),"Senior Personnel 8",""&amp;'BP1'!$B$22)</f>
        <v>Senior Personnel 8</v>
      </c>
      <c r="AS22" s="627"/>
      <c r="AT22" s="627"/>
      <c r="AU22" s="573" t="s">
        <v>288</v>
      </c>
      <c r="AV22" s="573" t="s">
        <v>288</v>
      </c>
      <c r="AW22" s="573" t="s">
        <v>288</v>
      </c>
      <c r="AX22" s="573" t="s">
        <v>288</v>
      </c>
      <c r="AY22" s="573" t="s">
        <v>288</v>
      </c>
      <c r="AZ22" s="573" t="s">
        <v>288</v>
      </c>
    </row>
    <row r="23" spans="1:52" ht="15.75" hidden="1" customHeight="1">
      <c r="A23" s="76" t="str">
        <f>CONCATENATE(V22," Fringe")</f>
        <v>Senior Personnel 8 Fringe</v>
      </c>
      <c r="B23" s="396">
        <f>'BP1'!$L$22</f>
        <v>0</v>
      </c>
      <c r="C23" s="397">
        <f>'BP1'!$O$22</f>
        <v>0</v>
      </c>
      <c r="D23" s="395"/>
      <c r="E23" s="396">
        <f ca="1">'BP2'!$L$22</f>
        <v>0</v>
      </c>
      <c r="F23" s="397">
        <f ca="1">'BP2'!$O$22</f>
        <v>0</v>
      </c>
      <c r="G23" s="395"/>
      <c r="H23" s="396">
        <f ca="1">'BP3'!$L$22</f>
        <v>0</v>
      </c>
      <c r="I23" s="397">
        <f ca="1">'BP3'!$O$22</f>
        <v>0</v>
      </c>
      <c r="J23" s="395"/>
      <c r="K23" s="396">
        <f ca="1">'BP4'!$L$22</f>
        <v>0</v>
      </c>
      <c r="L23" s="397">
        <f ca="1">'BP4'!$O$22</f>
        <v>0</v>
      </c>
      <c r="M23" s="395"/>
      <c r="N23" s="396">
        <f ca="1">'BP5'!$L$22</f>
        <v>0</v>
      </c>
      <c r="O23" s="397">
        <f ca="1">'BP5'!$O$22</f>
        <v>0</v>
      </c>
      <c r="P23" s="395"/>
      <c r="Q23" s="396">
        <f t="shared" ca="1" si="0"/>
        <v>0</v>
      </c>
      <c r="R23" s="397">
        <f t="shared" ca="1" si="1"/>
        <v>0</v>
      </c>
      <c r="S23" s="67"/>
      <c r="T23" s="117" t="s">
        <v>485</v>
      </c>
      <c r="V23" s="595"/>
      <c r="W23" s="596"/>
      <c r="X23" s="597"/>
      <c r="Y23" s="570">
        <f>'BP1'!H22</f>
        <v>0</v>
      </c>
      <c r="Z23" s="572">
        <f>'BP1'!I22</f>
        <v>0</v>
      </c>
      <c r="AA23" s="572">
        <f>'BP1'!J22</f>
        <v>0</v>
      </c>
      <c r="AB23" s="570">
        <f>'BP2'!H22</f>
        <v>0</v>
      </c>
      <c r="AC23" s="572">
        <f>'BP2'!I22</f>
        <v>0</v>
      </c>
      <c r="AD23" s="572">
        <f>'BP2'!J22</f>
        <v>0</v>
      </c>
      <c r="AE23" s="570">
        <f>'BP3'!H22</f>
        <v>0</v>
      </c>
      <c r="AF23" s="572">
        <f>'BP3'!I22</f>
        <v>0</v>
      </c>
      <c r="AG23" s="572">
        <f>'BP3'!J22</f>
        <v>0</v>
      </c>
      <c r="AH23" s="570">
        <f>'BP4'!H22</f>
        <v>0</v>
      </c>
      <c r="AI23" s="572">
        <f>'BP4'!I22</f>
        <v>0</v>
      </c>
      <c r="AJ23" s="572">
        <f>'BP4'!J22</f>
        <v>0</v>
      </c>
      <c r="AK23" s="570">
        <f>'BP5'!H22</f>
        <v>0</v>
      </c>
      <c r="AL23" s="572">
        <f>'BP5'!I22</f>
        <v>0</v>
      </c>
      <c r="AM23" s="572">
        <f>'BP5'!J22</f>
        <v>0</v>
      </c>
      <c r="AN23" s="570">
        <f>Y23+AB23+AE23+AH23+AK23</f>
        <v>0</v>
      </c>
      <c r="AO23" s="572">
        <f>Z23+AC23+AF23+AI23+AL23</f>
        <v>0</v>
      </c>
      <c r="AP23" s="572">
        <f>AA23+AD23+AG23+AJ23+AM23</f>
        <v>0</v>
      </c>
      <c r="AR23" s="627"/>
      <c r="AS23" s="627"/>
      <c r="AT23" s="627"/>
      <c r="AU23" s="574">
        <f>'BP1'!M22</f>
        <v>0</v>
      </c>
      <c r="AV23" s="574">
        <f>'BP2'!M22</f>
        <v>0</v>
      </c>
      <c r="AW23" s="574">
        <f>'BP3'!M22</f>
        <v>0</v>
      </c>
      <c r="AX23" s="574">
        <f>'BP4'!M22</f>
        <v>0</v>
      </c>
      <c r="AY23" s="574">
        <f>'BP5'!M22</f>
        <v>0</v>
      </c>
      <c r="AZ23" s="574">
        <f>AU23+AV23+AW23+AX23+AY23</f>
        <v>0</v>
      </c>
    </row>
    <row r="24" spans="1:52" ht="15.75" hidden="1" customHeight="1">
      <c r="A24" s="76" t="str">
        <f>CONCATENATE(V24," Salary")</f>
        <v>Senior Personnel 9 Salary</v>
      </c>
      <c r="B24" s="393">
        <f>'BP1'!$K$23</f>
        <v>0</v>
      </c>
      <c r="C24" s="394">
        <f>'BP1'!$N$23</f>
        <v>0</v>
      </c>
      <c r="D24" s="395"/>
      <c r="E24" s="393">
        <f ca="1">'BP2'!$K$23</f>
        <v>0</v>
      </c>
      <c r="F24" s="394">
        <f ca="1">'BP2'!$N$23</f>
        <v>0</v>
      </c>
      <c r="G24" s="395"/>
      <c r="H24" s="393">
        <f ca="1">'BP3'!$K$23</f>
        <v>0</v>
      </c>
      <c r="I24" s="394">
        <f ca="1">'BP3'!$N$23</f>
        <v>0</v>
      </c>
      <c r="J24" s="395"/>
      <c r="K24" s="393">
        <f ca="1">'BP4'!$K$23</f>
        <v>0</v>
      </c>
      <c r="L24" s="394">
        <f ca="1">'BP4'!$N$23</f>
        <v>0</v>
      </c>
      <c r="M24" s="395"/>
      <c r="N24" s="393">
        <f ca="1">'BP5'!$K$23</f>
        <v>0</v>
      </c>
      <c r="O24" s="394">
        <f ca="1">'BP5'!$N$23</f>
        <v>0</v>
      </c>
      <c r="P24" s="395"/>
      <c r="Q24" s="393">
        <f t="shared" ca="1" si="0"/>
        <v>0</v>
      </c>
      <c r="R24" s="394">
        <f t="shared" ca="1" si="1"/>
        <v>0</v>
      </c>
      <c r="S24" s="67"/>
      <c r="T24" s="117" t="s">
        <v>485</v>
      </c>
      <c r="V24" s="592" t="str">
        <f>IF(ISBLANK('BP1'!$B$23),"Senior Personnel 9",""&amp;'BP1'!$B$23)</f>
        <v>Senior Personnel 9</v>
      </c>
      <c r="W24" s="593"/>
      <c r="X24" s="594"/>
      <c r="Y24" s="569" t="s">
        <v>2</v>
      </c>
      <c r="Z24" s="571" t="s">
        <v>198</v>
      </c>
      <c r="AA24" s="571" t="s">
        <v>199</v>
      </c>
      <c r="AB24" s="569" t="s">
        <v>2</v>
      </c>
      <c r="AC24" s="571" t="s">
        <v>198</v>
      </c>
      <c r="AD24" s="571" t="s">
        <v>199</v>
      </c>
      <c r="AE24" s="569" t="s">
        <v>2</v>
      </c>
      <c r="AF24" s="571" t="s">
        <v>198</v>
      </c>
      <c r="AG24" s="571" t="s">
        <v>199</v>
      </c>
      <c r="AH24" s="569" t="s">
        <v>2</v>
      </c>
      <c r="AI24" s="571" t="s">
        <v>198</v>
      </c>
      <c r="AJ24" s="571" t="s">
        <v>199</v>
      </c>
      <c r="AK24" s="569" t="s">
        <v>2</v>
      </c>
      <c r="AL24" s="571" t="s">
        <v>198</v>
      </c>
      <c r="AM24" s="571" t="s">
        <v>199</v>
      </c>
      <c r="AN24" s="569" t="s">
        <v>2</v>
      </c>
      <c r="AO24" s="571" t="s">
        <v>198</v>
      </c>
      <c r="AP24" s="571" t="s">
        <v>199</v>
      </c>
      <c r="AR24" s="627" t="str">
        <f>IF(ISBLANK('BP1'!$B$23),"Senior Personnel 9",""&amp;'BP1'!$B$23)</f>
        <v>Senior Personnel 9</v>
      </c>
      <c r="AS24" s="627"/>
      <c r="AT24" s="627"/>
      <c r="AU24" s="573" t="s">
        <v>288</v>
      </c>
      <c r="AV24" s="573" t="s">
        <v>288</v>
      </c>
      <c r="AW24" s="573" t="s">
        <v>288</v>
      </c>
      <c r="AX24" s="573" t="s">
        <v>288</v>
      </c>
      <c r="AY24" s="573" t="s">
        <v>288</v>
      </c>
      <c r="AZ24" s="573" t="s">
        <v>288</v>
      </c>
    </row>
    <row r="25" spans="1:52" ht="15.75" hidden="1" customHeight="1">
      <c r="A25" s="76" t="str">
        <f>CONCATENATE(V24," Fringe")</f>
        <v>Senior Personnel 9 Fringe</v>
      </c>
      <c r="B25" s="396">
        <f>'BP1'!$L$23</f>
        <v>0</v>
      </c>
      <c r="C25" s="397">
        <f>'BP1'!$O$23</f>
        <v>0</v>
      </c>
      <c r="D25" s="395"/>
      <c r="E25" s="396">
        <f ca="1">'BP2'!$L$23</f>
        <v>0</v>
      </c>
      <c r="F25" s="397">
        <f ca="1">'BP2'!$O$23</f>
        <v>0</v>
      </c>
      <c r="G25" s="395"/>
      <c r="H25" s="396">
        <f ca="1">'BP3'!$L$23</f>
        <v>0</v>
      </c>
      <c r="I25" s="397">
        <f ca="1">'BP3'!$O$23</f>
        <v>0</v>
      </c>
      <c r="J25" s="395"/>
      <c r="K25" s="396">
        <f ca="1">'BP4'!$L$23</f>
        <v>0</v>
      </c>
      <c r="L25" s="397">
        <f ca="1">'BP4'!$O$23</f>
        <v>0</v>
      </c>
      <c r="M25" s="395"/>
      <c r="N25" s="396">
        <f ca="1">'BP5'!$L$23</f>
        <v>0</v>
      </c>
      <c r="O25" s="397">
        <f ca="1">'BP5'!$O$23</f>
        <v>0</v>
      </c>
      <c r="P25" s="395"/>
      <c r="Q25" s="396">
        <f t="shared" ca="1" si="0"/>
        <v>0</v>
      </c>
      <c r="R25" s="397">
        <f t="shared" ca="1" si="1"/>
        <v>0</v>
      </c>
      <c r="S25" s="67"/>
      <c r="T25" s="117" t="s">
        <v>485</v>
      </c>
      <c r="V25" s="595"/>
      <c r="W25" s="596"/>
      <c r="X25" s="597"/>
      <c r="Y25" s="570">
        <f>'BP1'!H23</f>
        <v>0</v>
      </c>
      <c r="Z25" s="572">
        <f>'BP1'!I23</f>
        <v>0</v>
      </c>
      <c r="AA25" s="572">
        <f>'BP1'!J23</f>
        <v>0</v>
      </c>
      <c r="AB25" s="570">
        <f>'BP2'!H23</f>
        <v>0</v>
      </c>
      <c r="AC25" s="572">
        <f>'BP2'!I23</f>
        <v>0</v>
      </c>
      <c r="AD25" s="572">
        <f>'BP2'!J23</f>
        <v>0</v>
      </c>
      <c r="AE25" s="570">
        <f>'BP3'!H23</f>
        <v>0</v>
      </c>
      <c r="AF25" s="572">
        <f>'BP3'!I23</f>
        <v>0</v>
      </c>
      <c r="AG25" s="572">
        <f>'BP3'!J23</f>
        <v>0</v>
      </c>
      <c r="AH25" s="570">
        <f>'BP4'!H23</f>
        <v>0</v>
      </c>
      <c r="AI25" s="572">
        <f>'BP4'!I23</f>
        <v>0</v>
      </c>
      <c r="AJ25" s="572">
        <f>'BP4'!J23</f>
        <v>0</v>
      </c>
      <c r="AK25" s="570">
        <f>'BP5'!H23</f>
        <v>0</v>
      </c>
      <c r="AL25" s="572">
        <f>'BP5'!I23</f>
        <v>0</v>
      </c>
      <c r="AM25" s="572">
        <f>'BP5'!J23</f>
        <v>0</v>
      </c>
      <c r="AN25" s="570">
        <f>Y25+AB25+AE25+AH25+AK25</f>
        <v>0</v>
      </c>
      <c r="AO25" s="572">
        <f>Z25+AC25+AF25+AI25+AL25</f>
        <v>0</v>
      </c>
      <c r="AP25" s="572">
        <f>AA25+AD25+AG25+AJ25+AM25</f>
        <v>0</v>
      </c>
      <c r="AR25" s="627"/>
      <c r="AS25" s="627"/>
      <c r="AT25" s="627"/>
      <c r="AU25" s="574">
        <f>'BP1'!M23</f>
        <v>0</v>
      </c>
      <c r="AV25" s="574">
        <f>'BP2'!M23</f>
        <v>0</v>
      </c>
      <c r="AW25" s="574">
        <f>'BP3'!M23</f>
        <v>0</v>
      </c>
      <c r="AX25" s="574">
        <f>'BP4'!M23</f>
        <v>0</v>
      </c>
      <c r="AY25" s="574">
        <f>'BP5'!M23</f>
        <v>0</v>
      </c>
      <c r="AZ25" s="574">
        <f>AU25+AV25+AW25+AX25+AY25</f>
        <v>0</v>
      </c>
    </row>
    <row r="26" spans="1:52" ht="15.75" hidden="1" customHeight="1">
      <c r="A26" s="76" t="str">
        <f>CONCATENATE(V26," Salary")</f>
        <v>Senior Personnel 10 Salary</v>
      </c>
      <c r="B26" s="393">
        <f>'BP1'!$K$24</f>
        <v>0</v>
      </c>
      <c r="C26" s="394">
        <f>'BP1'!$N$24</f>
        <v>0</v>
      </c>
      <c r="D26" s="395"/>
      <c r="E26" s="393">
        <f ca="1">'BP2'!$K$24</f>
        <v>0</v>
      </c>
      <c r="F26" s="394">
        <f ca="1">'BP2'!$N$24</f>
        <v>0</v>
      </c>
      <c r="G26" s="395"/>
      <c r="H26" s="393">
        <f ca="1">'BP3'!$K$24</f>
        <v>0</v>
      </c>
      <c r="I26" s="394">
        <f ca="1">'BP3'!$N$24</f>
        <v>0</v>
      </c>
      <c r="J26" s="395"/>
      <c r="K26" s="393">
        <f ca="1">'BP4'!$K$24</f>
        <v>0</v>
      </c>
      <c r="L26" s="394">
        <f ca="1">'BP4'!$N$24</f>
        <v>0</v>
      </c>
      <c r="M26" s="395"/>
      <c r="N26" s="393">
        <f ca="1">'BP5'!$K$24</f>
        <v>0</v>
      </c>
      <c r="O26" s="394">
        <f ca="1">'BP5'!$N$24</f>
        <v>0</v>
      </c>
      <c r="P26" s="395"/>
      <c r="Q26" s="393">
        <f t="shared" ca="1" si="0"/>
        <v>0</v>
      </c>
      <c r="R26" s="394">
        <f t="shared" ca="1" si="1"/>
        <v>0</v>
      </c>
      <c r="S26" s="67"/>
      <c r="T26" s="117" t="s">
        <v>485</v>
      </c>
      <c r="V26" s="592" t="str">
        <f>IF(ISBLANK('BP1'!$B$24),"Senior Personnel 10",""&amp;'BP1'!$B$24)</f>
        <v>Senior Personnel 10</v>
      </c>
      <c r="W26" s="593"/>
      <c r="X26" s="594"/>
      <c r="Y26" s="569" t="s">
        <v>2</v>
      </c>
      <c r="Z26" s="571" t="s">
        <v>198</v>
      </c>
      <c r="AA26" s="571" t="s">
        <v>199</v>
      </c>
      <c r="AB26" s="569" t="s">
        <v>2</v>
      </c>
      <c r="AC26" s="571" t="s">
        <v>198</v>
      </c>
      <c r="AD26" s="571" t="s">
        <v>199</v>
      </c>
      <c r="AE26" s="569" t="s">
        <v>2</v>
      </c>
      <c r="AF26" s="571" t="s">
        <v>198</v>
      </c>
      <c r="AG26" s="571" t="s">
        <v>199</v>
      </c>
      <c r="AH26" s="569" t="s">
        <v>2</v>
      </c>
      <c r="AI26" s="571" t="s">
        <v>198</v>
      </c>
      <c r="AJ26" s="571" t="s">
        <v>199</v>
      </c>
      <c r="AK26" s="569" t="s">
        <v>2</v>
      </c>
      <c r="AL26" s="571" t="s">
        <v>198</v>
      </c>
      <c r="AM26" s="571" t="s">
        <v>199</v>
      </c>
      <c r="AN26" s="569" t="s">
        <v>2</v>
      </c>
      <c r="AO26" s="571" t="s">
        <v>198</v>
      </c>
      <c r="AP26" s="571" t="s">
        <v>199</v>
      </c>
      <c r="AR26" s="627" t="str">
        <f>IF(ISBLANK('BP1'!$B$24),"Senior Personnel 10",""&amp;'BP1'!$B$24)</f>
        <v>Senior Personnel 10</v>
      </c>
      <c r="AS26" s="627"/>
      <c r="AT26" s="627"/>
      <c r="AU26" s="573" t="s">
        <v>288</v>
      </c>
      <c r="AV26" s="573" t="s">
        <v>288</v>
      </c>
      <c r="AW26" s="573" t="s">
        <v>288</v>
      </c>
      <c r="AX26" s="573" t="s">
        <v>288</v>
      </c>
      <c r="AY26" s="573" t="s">
        <v>288</v>
      </c>
      <c r="AZ26" s="573" t="s">
        <v>288</v>
      </c>
    </row>
    <row r="27" spans="1:52" ht="15.75" hidden="1" customHeight="1">
      <c r="A27" s="76" t="str">
        <f>CONCATENATE(V26," Fringe")</f>
        <v>Senior Personnel 10 Fringe</v>
      </c>
      <c r="B27" s="396">
        <f>'BP1'!$L$24</f>
        <v>0</v>
      </c>
      <c r="C27" s="397">
        <f>'BP1'!$O$24</f>
        <v>0</v>
      </c>
      <c r="D27" s="395"/>
      <c r="E27" s="396">
        <f ca="1">'BP2'!$L$24</f>
        <v>0</v>
      </c>
      <c r="F27" s="397">
        <f ca="1">'BP2'!$O$24</f>
        <v>0</v>
      </c>
      <c r="G27" s="395"/>
      <c r="H27" s="396">
        <f ca="1">'BP3'!$L$24</f>
        <v>0</v>
      </c>
      <c r="I27" s="397">
        <f ca="1">'BP3'!$O$24</f>
        <v>0</v>
      </c>
      <c r="J27" s="395"/>
      <c r="K27" s="396">
        <f ca="1">'BP4'!$L$24</f>
        <v>0</v>
      </c>
      <c r="L27" s="397">
        <f ca="1">'BP4'!$O$24</f>
        <v>0</v>
      </c>
      <c r="M27" s="395"/>
      <c r="N27" s="396">
        <f ca="1">'BP5'!$L$24</f>
        <v>0</v>
      </c>
      <c r="O27" s="397">
        <f ca="1">'BP5'!$O$24</f>
        <v>0</v>
      </c>
      <c r="P27" s="395"/>
      <c r="Q27" s="396">
        <f t="shared" ca="1" si="0"/>
        <v>0</v>
      </c>
      <c r="R27" s="397">
        <f t="shared" ca="1" si="1"/>
        <v>0</v>
      </c>
      <c r="S27" s="67"/>
      <c r="T27" s="117" t="s">
        <v>485</v>
      </c>
      <c r="V27" s="595"/>
      <c r="W27" s="596"/>
      <c r="X27" s="597"/>
      <c r="Y27" s="570">
        <f>'BP1'!H24</f>
        <v>0</v>
      </c>
      <c r="Z27" s="572">
        <f>'BP1'!I24</f>
        <v>0</v>
      </c>
      <c r="AA27" s="572">
        <f>'BP1'!J24</f>
        <v>0</v>
      </c>
      <c r="AB27" s="570">
        <f>'BP2'!H24</f>
        <v>0</v>
      </c>
      <c r="AC27" s="572">
        <f>'BP2'!I24</f>
        <v>0</v>
      </c>
      <c r="AD27" s="572">
        <f>'BP2'!J24</f>
        <v>0</v>
      </c>
      <c r="AE27" s="570">
        <f>'BP3'!H24</f>
        <v>0</v>
      </c>
      <c r="AF27" s="572">
        <f>'BP3'!I24</f>
        <v>0</v>
      </c>
      <c r="AG27" s="572">
        <f>'BP3'!J24</f>
        <v>0</v>
      </c>
      <c r="AH27" s="570">
        <f>'BP4'!H24</f>
        <v>0</v>
      </c>
      <c r="AI27" s="572">
        <f>'BP4'!I24</f>
        <v>0</v>
      </c>
      <c r="AJ27" s="572">
        <f>'BP4'!J24</f>
        <v>0</v>
      </c>
      <c r="AK27" s="570">
        <f>'BP5'!H24</f>
        <v>0</v>
      </c>
      <c r="AL27" s="572">
        <f>'BP5'!I24</f>
        <v>0</v>
      </c>
      <c r="AM27" s="572">
        <f>'BP5'!J24</f>
        <v>0</v>
      </c>
      <c r="AN27" s="570">
        <f>Y27+AB27+AE27+AH27+AK27</f>
        <v>0</v>
      </c>
      <c r="AO27" s="572">
        <f>Z27+AC27+AF27+AI27+AL27</f>
        <v>0</v>
      </c>
      <c r="AP27" s="572">
        <f>AA27+AD27+AG27+AJ27+AM27</f>
        <v>0</v>
      </c>
      <c r="AR27" s="627"/>
      <c r="AS27" s="627"/>
      <c r="AT27" s="627"/>
      <c r="AU27" s="574">
        <f>'BP1'!M24</f>
        <v>0</v>
      </c>
      <c r="AV27" s="574">
        <f>'BP2'!M24</f>
        <v>0</v>
      </c>
      <c r="AW27" s="574">
        <f>'BP3'!M24</f>
        <v>0</v>
      </c>
      <c r="AX27" s="574">
        <f>'BP4'!M24</f>
        <v>0</v>
      </c>
      <c r="AY27" s="574">
        <f>'BP5'!M24</f>
        <v>0</v>
      </c>
      <c r="AZ27" s="574">
        <f>AU27+AV27+AW27+AX27+AY27</f>
        <v>0</v>
      </c>
    </row>
    <row r="28" spans="1:52" ht="15.75" hidden="1" customHeight="1">
      <c r="A28" s="76" t="str">
        <f>CONCATENATE(V28," Salary")</f>
        <v>Senior Personnel 11 Salary</v>
      </c>
      <c r="B28" s="393">
        <f>'BP1'!$K$25</f>
        <v>0</v>
      </c>
      <c r="C28" s="394">
        <f>'BP1'!$N$25</f>
        <v>0</v>
      </c>
      <c r="D28" s="395"/>
      <c r="E28" s="393">
        <f ca="1">'BP2'!$K$25</f>
        <v>0</v>
      </c>
      <c r="F28" s="394">
        <f ca="1">'BP2'!$N$25</f>
        <v>0</v>
      </c>
      <c r="G28" s="395"/>
      <c r="H28" s="393">
        <f ca="1">'BP3'!$K$25</f>
        <v>0</v>
      </c>
      <c r="I28" s="394">
        <f ca="1">'BP3'!$N$25</f>
        <v>0</v>
      </c>
      <c r="J28" s="395"/>
      <c r="K28" s="393">
        <f ca="1">'BP4'!$K$25</f>
        <v>0</v>
      </c>
      <c r="L28" s="394">
        <f ca="1">'BP4'!$N$25</f>
        <v>0</v>
      </c>
      <c r="M28" s="395"/>
      <c r="N28" s="393">
        <f ca="1">'BP5'!$K$25</f>
        <v>0</v>
      </c>
      <c r="O28" s="394">
        <f ca="1">'BP5'!$N$25</f>
        <v>0</v>
      </c>
      <c r="P28" s="395"/>
      <c r="Q28" s="393">
        <f t="shared" ca="1" si="0"/>
        <v>0</v>
      </c>
      <c r="R28" s="394">
        <f t="shared" ca="1" si="1"/>
        <v>0</v>
      </c>
      <c r="S28" s="67"/>
      <c r="T28" s="117" t="s">
        <v>486</v>
      </c>
      <c r="V28" s="592" t="str">
        <f>IF(ISBLANK('BP1'!$B$25),"Senior Personnel 11",""&amp;'BP1'!$B$25)</f>
        <v>Senior Personnel 11</v>
      </c>
      <c r="W28" s="593"/>
      <c r="X28" s="594"/>
      <c r="Y28" s="569" t="s">
        <v>2</v>
      </c>
      <c r="Z28" s="571" t="s">
        <v>198</v>
      </c>
      <c r="AA28" s="571" t="s">
        <v>199</v>
      </c>
      <c r="AB28" s="569" t="s">
        <v>2</v>
      </c>
      <c r="AC28" s="571" t="s">
        <v>198</v>
      </c>
      <c r="AD28" s="571" t="s">
        <v>199</v>
      </c>
      <c r="AE28" s="569" t="s">
        <v>2</v>
      </c>
      <c r="AF28" s="571" t="s">
        <v>198</v>
      </c>
      <c r="AG28" s="571" t="s">
        <v>199</v>
      </c>
      <c r="AH28" s="569" t="s">
        <v>2</v>
      </c>
      <c r="AI28" s="571" t="s">
        <v>198</v>
      </c>
      <c r="AJ28" s="571" t="s">
        <v>199</v>
      </c>
      <c r="AK28" s="569" t="s">
        <v>2</v>
      </c>
      <c r="AL28" s="571" t="s">
        <v>198</v>
      </c>
      <c r="AM28" s="571" t="s">
        <v>199</v>
      </c>
      <c r="AN28" s="569" t="s">
        <v>2</v>
      </c>
      <c r="AO28" s="571" t="s">
        <v>198</v>
      </c>
      <c r="AP28" s="571" t="s">
        <v>199</v>
      </c>
      <c r="AR28" s="627" t="str">
        <f>IF(ISBLANK('BP1'!$B$25),"Senior Personnel 11",""&amp;'BP1'!$B$25)</f>
        <v>Senior Personnel 11</v>
      </c>
      <c r="AS28" s="627"/>
      <c r="AT28" s="627"/>
      <c r="AU28" s="573" t="s">
        <v>288</v>
      </c>
      <c r="AV28" s="573" t="s">
        <v>288</v>
      </c>
      <c r="AW28" s="573" t="s">
        <v>288</v>
      </c>
      <c r="AX28" s="573" t="s">
        <v>288</v>
      </c>
      <c r="AY28" s="573" t="s">
        <v>288</v>
      </c>
      <c r="AZ28" s="573" t="s">
        <v>288</v>
      </c>
    </row>
    <row r="29" spans="1:52" ht="15.75" hidden="1" customHeight="1">
      <c r="A29" s="76" t="str">
        <f>CONCATENATE(V28," Fringe")</f>
        <v>Senior Personnel 11 Fringe</v>
      </c>
      <c r="B29" s="396">
        <f>'BP1'!$L$25</f>
        <v>0</v>
      </c>
      <c r="C29" s="397">
        <f>'BP1'!$O$25</f>
        <v>0</v>
      </c>
      <c r="D29" s="395"/>
      <c r="E29" s="396">
        <f ca="1">'BP2'!$L$25</f>
        <v>0</v>
      </c>
      <c r="F29" s="397">
        <f ca="1">'BP2'!$O$25</f>
        <v>0</v>
      </c>
      <c r="G29" s="395"/>
      <c r="H29" s="396">
        <f ca="1">'BP3'!$L$25</f>
        <v>0</v>
      </c>
      <c r="I29" s="397">
        <f ca="1">'BP3'!$O$25</f>
        <v>0</v>
      </c>
      <c r="J29" s="395"/>
      <c r="K29" s="396">
        <f ca="1">'BP4'!$L$25</f>
        <v>0</v>
      </c>
      <c r="L29" s="397">
        <f ca="1">'BP4'!$O$25</f>
        <v>0</v>
      </c>
      <c r="M29" s="395"/>
      <c r="N29" s="396">
        <f ca="1">'BP5'!$L$25</f>
        <v>0</v>
      </c>
      <c r="O29" s="397">
        <f ca="1">'BP5'!$O$25</f>
        <v>0</v>
      </c>
      <c r="P29" s="395"/>
      <c r="Q29" s="396">
        <f t="shared" ca="1" si="0"/>
        <v>0</v>
      </c>
      <c r="R29" s="397">
        <f t="shared" ca="1" si="1"/>
        <v>0</v>
      </c>
      <c r="S29" s="67"/>
      <c r="T29" s="117" t="s">
        <v>486</v>
      </c>
      <c r="V29" s="595"/>
      <c r="W29" s="596"/>
      <c r="X29" s="597"/>
      <c r="Y29" s="570">
        <f>'BP1'!H25</f>
        <v>0</v>
      </c>
      <c r="Z29" s="572">
        <f>'BP1'!I25</f>
        <v>0</v>
      </c>
      <c r="AA29" s="572">
        <f>'BP1'!J25</f>
        <v>0</v>
      </c>
      <c r="AB29" s="570">
        <f>'BP2'!H25</f>
        <v>0</v>
      </c>
      <c r="AC29" s="572">
        <f>'BP2'!I25</f>
        <v>0</v>
      </c>
      <c r="AD29" s="572">
        <f>'BP2'!J25</f>
        <v>0</v>
      </c>
      <c r="AE29" s="570">
        <f>'BP3'!H25</f>
        <v>0</v>
      </c>
      <c r="AF29" s="572">
        <f>'BP3'!I25</f>
        <v>0</v>
      </c>
      <c r="AG29" s="572">
        <f>'BP3'!J25</f>
        <v>0</v>
      </c>
      <c r="AH29" s="570">
        <f>'BP4'!H25</f>
        <v>0</v>
      </c>
      <c r="AI29" s="572">
        <f>'BP4'!I25</f>
        <v>0</v>
      </c>
      <c r="AJ29" s="572">
        <f>'BP4'!J25</f>
        <v>0</v>
      </c>
      <c r="AK29" s="570">
        <f>'BP5'!H25</f>
        <v>0</v>
      </c>
      <c r="AL29" s="572">
        <f>'BP5'!I25</f>
        <v>0</v>
      </c>
      <c r="AM29" s="572">
        <f>'BP5'!J25</f>
        <v>0</v>
      </c>
      <c r="AN29" s="570">
        <f>Y29+AB29+AE29+AH29+AK29</f>
        <v>0</v>
      </c>
      <c r="AO29" s="572">
        <f>Z29+AC29+AF29+AI29+AL29</f>
        <v>0</v>
      </c>
      <c r="AP29" s="572">
        <f>AA29+AD29+AG29+AJ29+AM29</f>
        <v>0</v>
      </c>
      <c r="AR29" s="627"/>
      <c r="AS29" s="627"/>
      <c r="AT29" s="627"/>
      <c r="AU29" s="574">
        <f>'BP1'!M25</f>
        <v>0</v>
      </c>
      <c r="AV29" s="574">
        <f>'BP2'!M25</f>
        <v>0</v>
      </c>
      <c r="AW29" s="574">
        <f>'BP3'!M25</f>
        <v>0</v>
      </c>
      <c r="AX29" s="574">
        <f>'BP4'!M25</f>
        <v>0</v>
      </c>
      <c r="AY29" s="574">
        <f>'BP5'!M25</f>
        <v>0</v>
      </c>
      <c r="AZ29" s="574">
        <f>AU29+AV29+AW29+AX29+AY29</f>
        <v>0</v>
      </c>
    </row>
    <row r="30" spans="1:52" ht="15.75" hidden="1" customHeight="1">
      <c r="A30" s="76" t="str">
        <f>CONCATENATE(V30," Salary")</f>
        <v>Senior Personnel 12 Salary</v>
      </c>
      <c r="B30" s="393">
        <f>'BP1'!$K$26</f>
        <v>0</v>
      </c>
      <c r="C30" s="394">
        <f>'BP1'!$N$26</f>
        <v>0</v>
      </c>
      <c r="D30" s="395"/>
      <c r="E30" s="393">
        <f ca="1">'BP2'!$K$26</f>
        <v>0</v>
      </c>
      <c r="F30" s="394">
        <f ca="1">'BP2'!$N$26</f>
        <v>0</v>
      </c>
      <c r="G30" s="395"/>
      <c r="H30" s="393">
        <f ca="1">'BP3'!$K$26</f>
        <v>0</v>
      </c>
      <c r="I30" s="394">
        <f ca="1">'BP3'!$N$26</f>
        <v>0</v>
      </c>
      <c r="J30" s="395"/>
      <c r="K30" s="393">
        <f ca="1">'BP4'!$K$26</f>
        <v>0</v>
      </c>
      <c r="L30" s="394">
        <f ca="1">'BP4'!$N$26</f>
        <v>0</v>
      </c>
      <c r="M30" s="395"/>
      <c r="N30" s="393">
        <f ca="1">'BP5'!$K$26</f>
        <v>0</v>
      </c>
      <c r="O30" s="394">
        <f ca="1">'BP5'!$N$26</f>
        <v>0</v>
      </c>
      <c r="P30" s="395"/>
      <c r="Q30" s="393">
        <f t="shared" ca="1" si="0"/>
        <v>0</v>
      </c>
      <c r="R30" s="394">
        <f t="shared" ca="1" si="1"/>
        <v>0</v>
      </c>
      <c r="S30" s="67"/>
      <c r="T30" s="117" t="s">
        <v>486</v>
      </c>
      <c r="V30" s="592" t="str">
        <f>IF(ISBLANK('BP1'!$B$26),"Senior Personnel 12",""&amp;'BP1'!$B$26)</f>
        <v>Senior Personnel 12</v>
      </c>
      <c r="W30" s="593"/>
      <c r="X30" s="594"/>
      <c r="Y30" s="569" t="s">
        <v>2</v>
      </c>
      <c r="Z30" s="571" t="s">
        <v>198</v>
      </c>
      <c r="AA30" s="571" t="s">
        <v>199</v>
      </c>
      <c r="AB30" s="569" t="s">
        <v>2</v>
      </c>
      <c r="AC30" s="571" t="s">
        <v>198</v>
      </c>
      <c r="AD30" s="571" t="s">
        <v>199</v>
      </c>
      <c r="AE30" s="569" t="s">
        <v>2</v>
      </c>
      <c r="AF30" s="571" t="s">
        <v>198</v>
      </c>
      <c r="AG30" s="571" t="s">
        <v>199</v>
      </c>
      <c r="AH30" s="569" t="s">
        <v>2</v>
      </c>
      <c r="AI30" s="571" t="s">
        <v>198</v>
      </c>
      <c r="AJ30" s="571" t="s">
        <v>199</v>
      </c>
      <c r="AK30" s="569" t="s">
        <v>2</v>
      </c>
      <c r="AL30" s="571" t="s">
        <v>198</v>
      </c>
      <c r="AM30" s="571" t="s">
        <v>199</v>
      </c>
      <c r="AN30" s="569" t="s">
        <v>2</v>
      </c>
      <c r="AO30" s="571" t="s">
        <v>198</v>
      </c>
      <c r="AP30" s="571" t="s">
        <v>199</v>
      </c>
      <c r="AR30" s="627" t="str">
        <f>IF(ISBLANK('BP1'!$B$26),"Senior Personnel 12",""&amp;'BP1'!$B$26)</f>
        <v>Senior Personnel 12</v>
      </c>
      <c r="AS30" s="627"/>
      <c r="AT30" s="627"/>
      <c r="AU30" s="573" t="s">
        <v>288</v>
      </c>
      <c r="AV30" s="573" t="s">
        <v>288</v>
      </c>
      <c r="AW30" s="573" t="s">
        <v>288</v>
      </c>
      <c r="AX30" s="573" t="s">
        <v>288</v>
      </c>
      <c r="AY30" s="573" t="s">
        <v>288</v>
      </c>
      <c r="AZ30" s="573" t="s">
        <v>288</v>
      </c>
    </row>
    <row r="31" spans="1:52" ht="15.75" hidden="1" customHeight="1">
      <c r="A31" s="76" t="str">
        <f>CONCATENATE(V30," Fringe")</f>
        <v>Senior Personnel 12 Fringe</v>
      </c>
      <c r="B31" s="396">
        <f>'BP1'!$L$26</f>
        <v>0</v>
      </c>
      <c r="C31" s="397">
        <f>'BP1'!$O$26</f>
        <v>0</v>
      </c>
      <c r="D31" s="395"/>
      <c r="E31" s="396">
        <f ca="1">'BP2'!$L$26</f>
        <v>0</v>
      </c>
      <c r="F31" s="397">
        <f ca="1">'BP2'!$O$26</f>
        <v>0</v>
      </c>
      <c r="G31" s="395"/>
      <c r="H31" s="396">
        <f ca="1">'BP3'!$L$26</f>
        <v>0</v>
      </c>
      <c r="I31" s="397">
        <f ca="1">'BP3'!$O$26</f>
        <v>0</v>
      </c>
      <c r="J31" s="395"/>
      <c r="K31" s="396">
        <f ca="1">'BP4'!$L$26</f>
        <v>0</v>
      </c>
      <c r="L31" s="397">
        <f ca="1">'BP4'!$O$26</f>
        <v>0</v>
      </c>
      <c r="M31" s="395"/>
      <c r="N31" s="396">
        <f ca="1">'BP5'!$L$26</f>
        <v>0</v>
      </c>
      <c r="O31" s="397">
        <f ca="1">'BP5'!$O$26</f>
        <v>0</v>
      </c>
      <c r="P31" s="395"/>
      <c r="Q31" s="396">
        <f t="shared" ca="1" si="0"/>
        <v>0</v>
      </c>
      <c r="R31" s="397">
        <f t="shared" ca="1" si="1"/>
        <v>0</v>
      </c>
      <c r="S31" s="67"/>
      <c r="T31" s="117" t="s">
        <v>486</v>
      </c>
      <c r="V31" s="595"/>
      <c r="W31" s="596"/>
      <c r="X31" s="597"/>
      <c r="Y31" s="570">
        <f>'BP1'!H26</f>
        <v>0</v>
      </c>
      <c r="Z31" s="572">
        <f>'BP1'!I26</f>
        <v>0</v>
      </c>
      <c r="AA31" s="572">
        <f>'BP1'!J26</f>
        <v>0</v>
      </c>
      <c r="AB31" s="570">
        <f>'BP2'!H26</f>
        <v>0</v>
      </c>
      <c r="AC31" s="572">
        <f>'BP2'!I26</f>
        <v>0</v>
      </c>
      <c r="AD31" s="572">
        <f>'BP2'!J26</f>
        <v>0</v>
      </c>
      <c r="AE31" s="570">
        <f>'BP3'!H26</f>
        <v>0</v>
      </c>
      <c r="AF31" s="572">
        <f>'BP3'!I26</f>
        <v>0</v>
      </c>
      <c r="AG31" s="572">
        <f>'BP3'!J26</f>
        <v>0</v>
      </c>
      <c r="AH31" s="570">
        <f>'BP4'!H26</f>
        <v>0</v>
      </c>
      <c r="AI31" s="572">
        <f>'BP4'!I26</f>
        <v>0</v>
      </c>
      <c r="AJ31" s="572">
        <f>'BP4'!J26</f>
        <v>0</v>
      </c>
      <c r="AK31" s="570">
        <f>'BP5'!H26</f>
        <v>0</v>
      </c>
      <c r="AL31" s="572">
        <f>'BP5'!I26</f>
        <v>0</v>
      </c>
      <c r="AM31" s="572">
        <f>'BP5'!J26</f>
        <v>0</v>
      </c>
      <c r="AN31" s="570">
        <f>Y31+AB31+AE31+AH31+AK31</f>
        <v>0</v>
      </c>
      <c r="AO31" s="572">
        <f>Z31+AC31+AF31+AI31+AL31</f>
        <v>0</v>
      </c>
      <c r="AP31" s="572">
        <f>AA31+AD31+AG31+AJ31+AM31</f>
        <v>0</v>
      </c>
      <c r="AR31" s="627"/>
      <c r="AS31" s="627"/>
      <c r="AT31" s="627"/>
      <c r="AU31" s="574">
        <f>'BP1'!M26</f>
        <v>0</v>
      </c>
      <c r="AV31" s="574">
        <f>'BP2'!M26</f>
        <v>0</v>
      </c>
      <c r="AW31" s="574">
        <f>'BP3'!M26</f>
        <v>0</v>
      </c>
      <c r="AX31" s="574">
        <f>'BP4'!M26</f>
        <v>0</v>
      </c>
      <c r="AY31" s="574">
        <f>'BP5'!M26</f>
        <v>0</v>
      </c>
      <c r="AZ31" s="574">
        <f>AU31+AV31+AW31+AX31+AY31</f>
        <v>0</v>
      </c>
    </row>
    <row r="32" spans="1:52" ht="15.75" hidden="1" customHeight="1">
      <c r="A32" s="76" t="str">
        <f>CONCATENATE(V32," Salary")</f>
        <v>Senior Personnel 13 Salary</v>
      </c>
      <c r="B32" s="393">
        <f>'BP1'!$K$27</f>
        <v>0</v>
      </c>
      <c r="C32" s="394">
        <f>'BP1'!$N$27</f>
        <v>0</v>
      </c>
      <c r="D32" s="395"/>
      <c r="E32" s="393">
        <f ca="1">'BP2'!$K$27</f>
        <v>0</v>
      </c>
      <c r="F32" s="394">
        <f ca="1">'BP2'!$N$27</f>
        <v>0</v>
      </c>
      <c r="G32" s="395"/>
      <c r="H32" s="393">
        <f ca="1">'BP3'!$K$27</f>
        <v>0</v>
      </c>
      <c r="I32" s="394">
        <f ca="1">'BP3'!$N$27</f>
        <v>0</v>
      </c>
      <c r="J32" s="395"/>
      <c r="K32" s="393">
        <f ca="1">'BP4'!$K$27</f>
        <v>0</v>
      </c>
      <c r="L32" s="394">
        <f ca="1">'BP4'!$N$27</f>
        <v>0</v>
      </c>
      <c r="M32" s="395"/>
      <c r="N32" s="393">
        <f ca="1">'BP5'!$K$27</f>
        <v>0</v>
      </c>
      <c r="O32" s="394">
        <f ca="1">'BP5'!$N$27</f>
        <v>0</v>
      </c>
      <c r="P32" s="395"/>
      <c r="Q32" s="393">
        <f t="shared" ca="1" si="0"/>
        <v>0</v>
      </c>
      <c r="R32" s="394">
        <f t="shared" ca="1" si="1"/>
        <v>0</v>
      </c>
      <c r="S32" s="67"/>
      <c r="T32" s="117" t="s">
        <v>486</v>
      </c>
      <c r="V32" s="592" t="str">
        <f>IF(ISBLANK('BP1'!$B$27),"Senior Personnel 13",""&amp;'BP1'!$B$27)</f>
        <v>Senior Personnel 13</v>
      </c>
      <c r="W32" s="593"/>
      <c r="X32" s="594"/>
      <c r="Y32" s="569" t="s">
        <v>2</v>
      </c>
      <c r="Z32" s="571" t="s">
        <v>198</v>
      </c>
      <c r="AA32" s="571" t="s">
        <v>199</v>
      </c>
      <c r="AB32" s="569" t="s">
        <v>2</v>
      </c>
      <c r="AC32" s="571" t="s">
        <v>198</v>
      </c>
      <c r="AD32" s="571" t="s">
        <v>199</v>
      </c>
      <c r="AE32" s="569" t="s">
        <v>2</v>
      </c>
      <c r="AF32" s="571" t="s">
        <v>198</v>
      </c>
      <c r="AG32" s="571" t="s">
        <v>199</v>
      </c>
      <c r="AH32" s="569" t="s">
        <v>2</v>
      </c>
      <c r="AI32" s="571" t="s">
        <v>198</v>
      </c>
      <c r="AJ32" s="571" t="s">
        <v>199</v>
      </c>
      <c r="AK32" s="569" t="s">
        <v>2</v>
      </c>
      <c r="AL32" s="571" t="s">
        <v>198</v>
      </c>
      <c r="AM32" s="571" t="s">
        <v>199</v>
      </c>
      <c r="AN32" s="569" t="s">
        <v>2</v>
      </c>
      <c r="AO32" s="571" t="s">
        <v>198</v>
      </c>
      <c r="AP32" s="571" t="s">
        <v>199</v>
      </c>
      <c r="AR32" s="627" t="str">
        <f>IF(ISBLANK('BP1'!$B$27),"Senior Personnel 13",""&amp;'BP1'!$B$27)</f>
        <v>Senior Personnel 13</v>
      </c>
      <c r="AS32" s="627"/>
      <c r="AT32" s="627"/>
      <c r="AU32" s="573" t="s">
        <v>288</v>
      </c>
      <c r="AV32" s="573" t="s">
        <v>288</v>
      </c>
      <c r="AW32" s="573" t="s">
        <v>288</v>
      </c>
      <c r="AX32" s="573" t="s">
        <v>288</v>
      </c>
      <c r="AY32" s="573" t="s">
        <v>288</v>
      </c>
      <c r="AZ32" s="573" t="s">
        <v>288</v>
      </c>
    </row>
    <row r="33" spans="1:52" ht="15.75" hidden="1" customHeight="1">
      <c r="A33" s="76" t="str">
        <f>CONCATENATE(V32," Fringe")</f>
        <v>Senior Personnel 13 Fringe</v>
      </c>
      <c r="B33" s="396">
        <f>'BP1'!$L$27</f>
        <v>0</v>
      </c>
      <c r="C33" s="397">
        <f>'BP1'!$O$27</f>
        <v>0</v>
      </c>
      <c r="D33" s="395"/>
      <c r="E33" s="396">
        <f ca="1">'BP2'!$L$27</f>
        <v>0</v>
      </c>
      <c r="F33" s="397">
        <f ca="1">'BP2'!$O$27</f>
        <v>0</v>
      </c>
      <c r="G33" s="395"/>
      <c r="H33" s="396">
        <f ca="1">'BP3'!$L$27</f>
        <v>0</v>
      </c>
      <c r="I33" s="397">
        <f ca="1">'BP3'!$O$27</f>
        <v>0</v>
      </c>
      <c r="J33" s="395"/>
      <c r="K33" s="396">
        <f ca="1">'BP4'!$L$27</f>
        <v>0</v>
      </c>
      <c r="L33" s="397">
        <f ca="1">'BP4'!$O$27</f>
        <v>0</v>
      </c>
      <c r="M33" s="395"/>
      <c r="N33" s="396">
        <f ca="1">'BP5'!$L$27</f>
        <v>0</v>
      </c>
      <c r="O33" s="397">
        <f ca="1">'BP5'!$O$27</f>
        <v>0</v>
      </c>
      <c r="P33" s="395"/>
      <c r="Q33" s="396">
        <f t="shared" ca="1" si="0"/>
        <v>0</v>
      </c>
      <c r="R33" s="397">
        <f t="shared" ca="1" si="1"/>
        <v>0</v>
      </c>
      <c r="S33" s="67"/>
      <c r="T33" s="117" t="s">
        <v>486</v>
      </c>
      <c r="V33" s="595"/>
      <c r="W33" s="596"/>
      <c r="X33" s="597"/>
      <c r="Y33" s="570">
        <f>'BP1'!H27</f>
        <v>0</v>
      </c>
      <c r="Z33" s="572">
        <f>'BP1'!I27</f>
        <v>0</v>
      </c>
      <c r="AA33" s="572">
        <f>'BP1'!J27</f>
        <v>0</v>
      </c>
      <c r="AB33" s="570">
        <f>'BP2'!H27</f>
        <v>0</v>
      </c>
      <c r="AC33" s="572">
        <f>'BP2'!I27</f>
        <v>0</v>
      </c>
      <c r="AD33" s="572">
        <f>'BP2'!J27</f>
        <v>0</v>
      </c>
      <c r="AE33" s="570">
        <f>'BP3'!H27</f>
        <v>0</v>
      </c>
      <c r="AF33" s="572">
        <f>'BP3'!I27</f>
        <v>0</v>
      </c>
      <c r="AG33" s="572">
        <f>'BP3'!J27</f>
        <v>0</v>
      </c>
      <c r="AH33" s="570">
        <f>'BP4'!H27</f>
        <v>0</v>
      </c>
      <c r="AI33" s="572">
        <f>'BP4'!I27</f>
        <v>0</v>
      </c>
      <c r="AJ33" s="572">
        <f>'BP4'!J27</f>
        <v>0</v>
      </c>
      <c r="AK33" s="570">
        <f>'BP5'!H27</f>
        <v>0</v>
      </c>
      <c r="AL33" s="572">
        <f>'BP5'!I27</f>
        <v>0</v>
      </c>
      <c r="AM33" s="572">
        <f>'BP5'!J27</f>
        <v>0</v>
      </c>
      <c r="AN33" s="570">
        <f>Y33+AB33+AE33+AH33+AK33</f>
        <v>0</v>
      </c>
      <c r="AO33" s="572">
        <f>Z33+AC33+AF33+AI33+AL33</f>
        <v>0</v>
      </c>
      <c r="AP33" s="572">
        <f>AA33+AD33+AG33+AJ33+AM33</f>
        <v>0</v>
      </c>
      <c r="AR33" s="627"/>
      <c r="AS33" s="627"/>
      <c r="AT33" s="627"/>
      <c r="AU33" s="574">
        <f>'BP1'!M27</f>
        <v>0</v>
      </c>
      <c r="AV33" s="574">
        <f>'BP2'!M27</f>
        <v>0</v>
      </c>
      <c r="AW33" s="574">
        <f>'BP3'!M27</f>
        <v>0</v>
      </c>
      <c r="AX33" s="574">
        <f>'BP4'!M27</f>
        <v>0</v>
      </c>
      <c r="AY33" s="574">
        <f>'BP5'!M27</f>
        <v>0</v>
      </c>
      <c r="AZ33" s="574">
        <f>AU33+AV33+AW33+AX33+AY33</f>
        <v>0</v>
      </c>
    </row>
    <row r="34" spans="1:52" ht="15.75" hidden="1" customHeight="1">
      <c r="A34" s="76" t="str">
        <f>CONCATENATE(V34," Salary")</f>
        <v>Senior Personnel 14 Salary</v>
      </c>
      <c r="B34" s="393">
        <f>'BP1'!$K$28</f>
        <v>0</v>
      </c>
      <c r="C34" s="394">
        <f>'BP1'!$N$28</f>
        <v>0</v>
      </c>
      <c r="D34" s="395"/>
      <c r="E34" s="393">
        <f ca="1">'BP2'!$K$28</f>
        <v>0</v>
      </c>
      <c r="F34" s="394">
        <f ca="1">'BP2'!$N$28</f>
        <v>0</v>
      </c>
      <c r="G34" s="395"/>
      <c r="H34" s="393">
        <f ca="1">'BP3'!$K$28</f>
        <v>0</v>
      </c>
      <c r="I34" s="394">
        <f ca="1">'BP3'!$N$28</f>
        <v>0</v>
      </c>
      <c r="J34" s="395"/>
      <c r="K34" s="393">
        <f ca="1">'BP4'!$K$28</f>
        <v>0</v>
      </c>
      <c r="L34" s="394">
        <f ca="1">'BP4'!$N$28</f>
        <v>0</v>
      </c>
      <c r="M34" s="395"/>
      <c r="N34" s="393">
        <f ca="1">'BP5'!$K$28</f>
        <v>0</v>
      </c>
      <c r="O34" s="394">
        <f ca="1">'BP5'!$N$28</f>
        <v>0</v>
      </c>
      <c r="P34" s="395"/>
      <c r="Q34" s="393">
        <f t="shared" ca="1" si="0"/>
        <v>0</v>
      </c>
      <c r="R34" s="394">
        <f t="shared" ca="1" si="1"/>
        <v>0</v>
      </c>
      <c r="S34" s="67"/>
      <c r="T34" s="117" t="s">
        <v>486</v>
      </c>
      <c r="V34" s="592" t="str">
        <f>IF(ISBLANK('BP1'!$B$28),"Senior Personnel 14",""&amp;'BP1'!$B$28)</f>
        <v>Senior Personnel 14</v>
      </c>
      <c r="W34" s="593"/>
      <c r="X34" s="594"/>
      <c r="Y34" s="569" t="s">
        <v>2</v>
      </c>
      <c r="Z34" s="571" t="s">
        <v>198</v>
      </c>
      <c r="AA34" s="571" t="s">
        <v>199</v>
      </c>
      <c r="AB34" s="569" t="s">
        <v>2</v>
      </c>
      <c r="AC34" s="571" t="s">
        <v>198</v>
      </c>
      <c r="AD34" s="571" t="s">
        <v>199</v>
      </c>
      <c r="AE34" s="569" t="s">
        <v>2</v>
      </c>
      <c r="AF34" s="571" t="s">
        <v>198</v>
      </c>
      <c r="AG34" s="571" t="s">
        <v>199</v>
      </c>
      <c r="AH34" s="569" t="s">
        <v>2</v>
      </c>
      <c r="AI34" s="571" t="s">
        <v>198</v>
      </c>
      <c r="AJ34" s="571" t="s">
        <v>199</v>
      </c>
      <c r="AK34" s="569" t="s">
        <v>2</v>
      </c>
      <c r="AL34" s="571" t="s">
        <v>198</v>
      </c>
      <c r="AM34" s="571" t="s">
        <v>199</v>
      </c>
      <c r="AN34" s="569" t="s">
        <v>2</v>
      </c>
      <c r="AO34" s="571" t="s">
        <v>198</v>
      </c>
      <c r="AP34" s="571" t="s">
        <v>199</v>
      </c>
      <c r="AR34" s="627" t="str">
        <f>IF(ISBLANK('BP1'!$B$28),"Senior Personnel 14",""&amp;'BP1'!$B$28)</f>
        <v>Senior Personnel 14</v>
      </c>
      <c r="AS34" s="627"/>
      <c r="AT34" s="627"/>
      <c r="AU34" s="573" t="s">
        <v>288</v>
      </c>
      <c r="AV34" s="573" t="s">
        <v>288</v>
      </c>
      <c r="AW34" s="573" t="s">
        <v>288</v>
      </c>
      <c r="AX34" s="573" t="s">
        <v>288</v>
      </c>
      <c r="AY34" s="573" t="s">
        <v>288</v>
      </c>
      <c r="AZ34" s="573" t="s">
        <v>288</v>
      </c>
    </row>
    <row r="35" spans="1:52" ht="15.75" hidden="1" customHeight="1">
      <c r="A35" s="76" t="str">
        <f>CONCATENATE(V34," Fringe")</f>
        <v>Senior Personnel 14 Fringe</v>
      </c>
      <c r="B35" s="396">
        <f>'BP1'!$L$28</f>
        <v>0</v>
      </c>
      <c r="C35" s="397">
        <f>'BP1'!$O$28</f>
        <v>0</v>
      </c>
      <c r="D35" s="395"/>
      <c r="E35" s="396">
        <f ca="1">'BP2'!$L$28</f>
        <v>0</v>
      </c>
      <c r="F35" s="397">
        <f ca="1">'BP2'!$O$28</f>
        <v>0</v>
      </c>
      <c r="G35" s="395"/>
      <c r="H35" s="396">
        <f ca="1">'BP3'!$L$28</f>
        <v>0</v>
      </c>
      <c r="I35" s="397">
        <f ca="1">'BP3'!$O$28</f>
        <v>0</v>
      </c>
      <c r="J35" s="395"/>
      <c r="K35" s="396">
        <f ca="1">'BP4'!$L$28</f>
        <v>0</v>
      </c>
      <c r="L35" s="397">
        <f ca="1">'BP4'!$O$28</f>
        <v>0</v>
      </c>
      <c r="M35" s="395"/>
      <c r="N35" s="396">
        <f ca="1">'BP5'!$L$28</f>
        <v>0</v>
      </c>
      <c r="O35" s="397">
        <f ca="1">'BP5'!$O$28</f>
        <v>0</v>
      </c>
      <c r="P35" s="395"/>
      <c r="Q35" s="396">
        <f t="shared" ca="1" si="0"/>
        <v>0</v>
      </c>
      <c r="R35" s="397">
        <f t="shared" ca="1" si="1"/>
        <v>0</v>
      </c>
      <c r="S35" s="67"/>
      <c r="T35" s="117" t="s">
        <v>486</v>
      </c>
      <c r="V35" s="595"/>
      <c r="W35" s="596"/>
      <c r="X35" s="597"/>
      <c r="Y35" s="570">
        <f>'BP1'!H28</f>
        <v>0</v>
      </c>
      <c r="Z35" s="572">
        <f>'BP1'!I28</f>
        <v>0</v>
      </c>
      <c r="AA35" s="572">
        <f>'BP1'!J28</f>
        <v>0</v>
      </c>
      <c r="AB35" s="570">
        <f>'BP2'!H28</f>
        <v>0</v>
      </c>
      <c r="AC35" s="572">
        <f>'BP2'!I28</f>
        <v>0</v>
      </c>
      <c r="AD35" s="572">
        <f>'BP2'!J28</f>
        <v>0</v>
      </c>
      <c r="AE35" s="570">
        <f>'BP3'!H28</f>
        <v>0</v>
      </c>
      <c r="AF35" s="572">
        <f>'BP3'!I28</f>
        <v>0</v>
      </c>
      <c r="AG35" s="572">
        <f>'BP3'!J28</f>
        <v>0</v>
      </c>
      <c r="AH35" s="570">
        <f>'BP4'!H28</f>
        <v>0</v>
      </c>
      <c r="AI35" s="572">
        <f>'BP4'!I28</f>
        <v>0</v>
      </c>
      <c r="AJ35" s="572">
        <f>'BP4'!J28</f>
        <v>0</v>
      </c>
      <c r="AK35" s="570">
        <f>'BP5'!H28</f>
        <v>0</v>
      </c>
      <c r="AL35" s="572">
        <f>'BP5'!I28</f>
        <v>0</v>
      </c>
      <c r="AM35" s="572">
        <f>'BP5'!J28</f>
        <v>0</v>
      </c>
      <c r="AN35" s="570">
        <f>Y35+AB35+AE35+AH35+AK35</f>
        <v>0</v>
      </c>
      <c r="AO35" s="572">
        <f>Z35+AC35+AF35+AI35+AL35</f>
        <v>0</v>
      </c>
      <c r="AP35" s="572">
        <f>AA35+AD35+AG35+AJ35+AM35</f>
        <v>0</v>
      </c>
      <c r="AR35" s="627"/>
      <c r="AS35" s="627"/>
      <c r="AT35" s="627"/>
      <c r="AU35" s="574">
        <f>'BP1'!M28</f>
        <v>0</v>
      </c>
      <c r="AV35" s="574">
        <f>'BP2'!M28</f>
        <v>0</v>
      </c>
      <c r="AW35" s="574">
        <f>'BP3'!M28</f>
        <v>0</v>
      </c>
      <c r="AX35" s="574">
        <f>'BP4'!M28</f>
        <v>0</v>
      </c>
      <c r="AY35" s="574">
        <f>'BP5'!M28</f>
        <v>0</v>
      </c>
      <c r="AZ35" s="574">
        <f>AU35+AV35+AW35+AX35+AY35</f>
        <v>0</v>
      </c>
    </row>
    <row r="36" spans="1:52" ht="15.75" hidden="1" customHeight="1">
      <c r="A36" s="76" t="str">
        <f>CONCATENATE(V36," Salary")</f>
        <v>Senior Personnel 15 Salary</v>
      </c>
      <c r="B36" s="393">
        <f>'BP1'!$K$29</f>
        <v>0</v>
      </c>
      <c r="C36" s="394">
        <f>'BP1'!$N$29</f>
        <v>0</v>
      </c>
      <c r="D36" s="395"/>
      <c r="E36" s="393">
        <f ca="1">'BP2'!$K$29</f>
        <v>0</v>
      </c>
      <c r="F36" s="394">
        <f ca="1">'BP2'!$N$29</f>
        <v>0</v>
      </c>
      <c r="G36" s="395"/>
      <c r="H36" s="393">
        <f ca="1">'BP3'!$K$29</f>
        <v>0</v>
      </c>
      <c r="I36" s="394">
        <f ca="1">'BP3'!$N$29</f>
        <v>0</v>
      </c>
      <c r="J36" s="395"/>
      <c r="K36" s="393">
        <f ca="1">'BP4'!$K$29</f>
        <v>0</v>
      </c>
      <c r="L36" s="394">
        <f ca="1">'BP4'!$N$29</f>
        <v>0</v>
      </c>
      <c r="M36" s="395"/>
      <c r="N36" s="393">
        <f ca="1">'BP5'!$K$29</f>
        <v>0</v>
      </c>
      <c r="O36" s="394">
        <f ca="1">'BP5'!$N$29</f>
        <v>0</v>
      </c>
      <c r="P36" s="395"/>
      <c r="Q36" s="393">
        <f t="shared" ca="1" si="0"/>
        <v>0</v>
      </c>
      <c r="R36" s="394">
        <f t="shared" ca="1" si="1"/>
        <v>0</v>
      </c>
      <c r="S36" s="67"/>
      <c r="T36" s="117" t="s">
        <v>486</v>
      </c>
      <c r="V36" s="592" t="str">
        <f>IF(ISBLANK('BP1'!$B$29),"Senior Personnel 15",""&amp;'BP1'!$B$29)</f>
        <v>Senior Personnel 15</v>
      </c>
      <c r="W36" s="593"/>
      <c r="X36" s="594"/>
      <c r="Y36" s="569" t="s">
        <v>2</v>
      </c>
      <c r="Z36" s="571" t="s">
        <v>198</v>
      </c>
      <c r="AA36" s="571" t="s">
        <v>199</v>
      </c>
      <c r="AB36" s="569" t="s">
        <v>2</v>
      </c>
      <c r="AC36" s="571" t="s">
        <v>198</v>
      </c>
      <c r="AD36" s="571" t="s">
        <v>199</v>
      </c>
      <c r="AE36" s="569" t="s">
        <v>2</v>
      </c>
      <c r="AF36" s="571" t="s">
        <v>198</v>
      </c>
      <c r="AG36" s="571" t="s">
        <v>199</v>
      </c>
      <c r="AH36" s="569" t="s">
        <v>2</v>
      </c>
      <c r="AI36" s="571" t="s">
        <v>198</v>
      </c>
      <c r="AJ36" s="571" t="s">
        <v>199</v>
      </c>
      <c r="AK36" s="569" t="s">
        <v>2</v>
      </c>
      <c r="AL36" s="571" t="s">
        <v>198</v>
      </c>
      <c r="AM36" s="571" t="s">
        <v>199</v>
      </c>
      <c r="AN36" s="569" t="s">
        <v>2</v>
      </c>
      <c r="AO36" s="571" t="s">
        <v>198</v>
      </c>
      <c r="AP36" s="571" t="s">
        <v>199</v>
      </c>
      <c r="AR36" s="627" t="str">
        <f>IF(ISBLANK('BP1'!$B$29),"Senior Personnel 15",""&amp;'BP1'!$B$29)</f>
        <v>Senior Personnel 15</v>
      </c>
      <c r="AS36" s="627"/>
      <c r="AT36" s="627"/>
      <c r="AU36" s="573" t="s">
        <v>288</v>
      </c>
      <c r="AV36" s="573" t="s">
        <v>288</v>
      </c>
      <c r="AW36" s="573" t="s">
        <v>288</v>
      </c>
      <c r="AX36" s="573" t="s">
        <v>288</v>
      </c>
      <c r="AY36" s="573" t="s">
        <v>288</v>
      </c>
      <c r="AZ36" s="573" t="s">
        <v>288</v>
      </c>
    </row>
    <row r="37" spans="1:52" ht="15.75" hidden="1" customHeight="1">
      <c r="A37" s="76" t="str">
        <f>CONCATENATE(V36," Fringe")</f>
        <v>Senior Personnel 15 Fringe</v>
      </c>
      <c r="B37" s="396">
        <f>'BP1'!$L$29</f>
        <v>0</v>
      </c>
      <c r="C37" s="397">
        <f>'BP1'!$O$29</f>
        <v>0</v>
      </c>
      <c r="D37" s="395"/>
      <c r="E37" s="396">
        <f ca="1">'BP2'!$L$29</f>
        <v>0</v>
      </c>
      <c r="F37" s="397">
        <f ca="1">'BP2'!$O$29</f>
        <v>0</v>
      </c>
      <c r="G37" s="395"/>
      <c r="H37" s="396">
        <f ca="1">'BP3'!$L$29</f>
        <v>0</v>
      </c>
      <c r="I37" s="397">
        <f ca="1">'BP3'!$O$29</f>
        <v>0</v>
      </c>
      <c r="J37" s="395"/>
      <c r="K37" s="396">
        <f ca="1">'BP4'!$L$29</f>
        <v>0</v>
      </c>
      <c r="L37" s="397">
        <f ca="1">'BP4'!$O$29</f>
        <v>0</v>
      </c>
      <c r="M37" s="395"/>
      <c r="N37" s="396">
        <f ca="1">'BP5'!$L$29</f>
        <v>0</v>
      </c>
      <c r="O37" s="397">
        <f ca="1">'BP5'!$O$29</f>
        <v>0</v>
      </c>
      <c r="P37" s="395"/>
      <c r="Q37" s="396">
        <f t="shared" ca="1" si="0"/>
        <v>0</v>
      </c>
      <c r="R37" s="397">
        <f t="shared" ca="1" si="1"/>
        <v>0</v>
      </c>
      <c r="S37" s="67"/>
      <c r="T37" s="117" t="s">
        <v>486</v>
      </c>
      <c r="V37" s="595"/>
      <c r="W37" s="596"/>
      <c r="X37" s="597"/>
      <c r="Y37" s="570">
        <f>'BP1'!H29</f>
        <v>0</v>
      </c>
      <c r="Z37" s="572">
        <f>'BP1'!I29</f>
        <v>0</v>
      </c>
      <c r="AA37" s="572">
        <f>'BP1'!J29</f>
        <v>0</v>
      </c>
      <c r="AB37" s="570">
        <f>'BP2'!H29</f>
        <v>0</v>
      </c>
      <c r="AC37" s="572">
        <f>'BP2'!I29</f>
        <v>0</v>
      </c>
      <c r="AD37" s="572">
        <f>'BP2'!J29</f>
        <v>0</v>
      </c>
      <c r="AE37" s="570">
        <f>'BP3'!H29</f>
        <v>0</v>
      </c>
      <c r="AF37" s="572">
        <f>'BP3'!I29</f>
        <v>0</v>
      </c>
      <c r="AG37" s="572">
        <f>'BP3'!J29</f>
        <v>0</v>
      </c>
      <c r="AH37" s="570">
        <f>'BP4'!H29</f>
        <v>0</v>
      </c>
      <c r="AI37" s="572">
        <f>'BP4'!I29</f>
        <v>0</v>
      </c>
      <c r="AJ37" s="572">
        <f>'BP4'!J29</f>
        <v>0</v>
      </c>
      <c r="AK37" s="570">
        <f>'BP5'!H29</f>
        <v>0</v>
      </c>
      <c r="AL37" s="572">
        <f>'BP5'!I29</f>
        <v>0</v>
      </c>
      <c r="AM37" s="572">
        <f>'BP5'!J29</f>
        <v>0</v>
      </c>
      <c r="AN37" s="570">
        <f>Y37+AB37+AE37+AH37+AK37</f>
        <v>0</v>
      </c>
      <c r="AO37" s="572">
        <f>Z37+AC37+AF37+AI37+AL37</f>
        <v>0</v>
      </c>
      <c r="AP37" s="572">
        <f>AA37+AD37+AG37+AJ37+AM37</f>
        <v>0</v>
      </c>
      <c r="AR37" s="627"/>
      <c r="AS37" s="627"/>
      <c r="AT37" s="627"/>
      <c r="AU37" s="574">
        <f>'BP1'!M29</f>
        <v>0</v>
      </c>
      <c r="AV37" s="574">
        <f>'BP2'!M29</f>
        <v>0</v>
      </c>
      <c r="AW37" s="574">
        <f>'BP3'!M29</f>
        <v>0</v>
      </c>
      <c r="AX37" s="574">
        <f>'BP4'!M29</f>
        <v>0</v>
      </c>
      <c r="AY37" s="574">
        <f>'BP5'!M29</f>
        <v>0</v>
      </c>
      <c r="AZ37" s="574">
        <f>AU37+AV37+AW37+AX37+AY37</f>
        <v>0</v>
      </c>
    </row>
    <row r="38" spans="1:52" ht="16.5" thickBot="1">
      <c r="A38" s="248" t="s">
        <v>88</v>
      </c>
      <c r="B38" s="398">
        <f>'BP1'!$K$30</f>
        <v>0</v>
      </c>
      <c r="C38" s="399">
        <f>'BP1'!$N$30</f>
        <v>0</v>
      </c>
      <c r="D38" s="395"/>
      <c r="E38" s="398">
        <f ca="1">'BP2'!$K$30</f>
        <v>0</v>
      </c>
      <c r="F38" s="399">
        <f ca="1">'BP2'!$N$30</f>
        <v>0</v>
      </c>
      <c r="G38" s="395"/>
      <c r="H38" s="398">
        <f ca="1">'BP3'!$K$30</f>
        <v>0</v>
      </c>
      <c r="I38" s="399">
        <f ca="1">'BP3'!$N$30</f>
        <v>0</v>
      </c>
      <c r="J38" s="395"/>
      <c r="K38" s="398">
        <f ca="1">'BP4'!$K$30</f>
        <v>0</v>
      </c>
      <c r="L38" s="399">
        <f ca="1">'BP4'!$N$30</f>
        <v>0</v>
      </c>
      <c r="M38" s="395"/>
      <c r="N38" s="398">
        <f ca="1">'BP5'!$K$30</f>
        <v>0</v>
      </c>
      <c r="O38" s="399">
        <f ca="1">'BP5'!$N$30</f>
        <v>0</v>
      </c>
      <c r="P38" s="395"/>
      <c r="Q38" s="398">
        <f t="shared" ca="1" si="0"/>
        <v>0</v>
      </c>
      <c r="R38" s="399">
        <f t="shared" ca="1" si="1"/>
        <v>0</v>
      </c>
      <c r="S38" s="66"/>
      <c r="T38" s="117" t="s">
        <v>219</v>
      </c>
    </row>
    <row r="39" spans="1:52" ht="16.5" thickBot="1">
      <c r="A39" s="249" t="s">
        <v>89</v>
      </c>
      <c r="B39" s="400">
        <f>'BP1'!$L$30</f>
        <v>0</v>
      </c>
      <c r="C39" s="401">
        <f>'BP1'!$O$30</f>
        <v>0</v>
      </c>
      <c r="D39" s="395"/>
      <c r="E39" s="400">
        <f ca="1">'BP2'!$L$30</f>
        <v>0</v>
      </c>
      <c r="F39" s="401">
        <f ca="1">'BP2'!$O$30</f>
        <v>0</v>
      </c>
      <c r="G39" s="395"/>
      <c r="H39" s="400">
        <f ca="1">'BP3'!$L$30</f>
        <v>0</v>
      </c>
      <c r="I39" s="401">
        <f ca="1">'BP3'!$O$30</f>
        <v>0</v>
      </c>
      <c r="J39" s="395"/>
      <c r="K39" s="400">
        <f ca="1">'BP4'!$L$30</f>
        <v>0</v>
      </c>
      <c r="L39" s="401">
        <f ca="1">'BP4'!$O$30</f>
        <v>0</v>
      </c>
      <c r="M39" s="395"/>
      <c r="N39" s="400">
        <f ca="1">'BP5'!$L$30</f>
        <v>0</v>
      </c>
      <c r="O39" s="401">
        <f ca="1">'BP5'!$O$30</f>
        <v>0</v>
      </c>
      <c r="P39" s="395"/>
      <c r="Q39" s="400">
        <f t="shared" ca="1" si="0"/>
        <v>0</v>
      </c>
      <c r="R39" s="401">
        <f t="shared" ca="1" si="1"/>
        <v>0</v>
      </c>
      <c r="S39" s="66"/>
      <c r="T39" s="117" t="s">
        <v>219</v>
      </c>
      <c r="V39" s="630" t="s">
        <v>201</v>
      </c>
      <c r="W39" s="631"/>
      <c r="X39" s="631"/>
      <c r="Y39" s="631"/>
      <c r="Z39" s="631"/>
      <c r="AA39" s="631"/>
      <c r="AB39" s="631"/>
      <c r="AC39" s="631"/>
      <c r="AD39" s="631"/>
      <c r="AE39" s="631"/>
      <c r="AF39" s="631"/>
      <c r="AG39" s="631"/>
      <c r="AH39" s="631"/>
      <c r="AI39" s="631"/>
      <c r="AJ39" s="631"/>
      <c r="AK39" s="631"/>
      <c r="AL39" s="631"/>
      <c r="AM39" s="631"/>
      <c r="AN39" s="631"/>
      <c r="AO39" s="631"/>
      <c r="AP39" s="632"/>
      <c r="AR39" s="654" t="s">
        <v>510</v>
      </c>
      <c r="AS39" s="655"/>
      <c r="AT39" s="655"/>
      <c r="AU39" s="655"/>
      <c r="AV39" s="655"/>
      <c r="AW39" s="655"/>
      <c r="AX39" s="655"/>
      <c r="AY39" s="655"/>
      <c r="AZ39" s="656"/>
    </row>
    <row r="40" spans="1:52" ht="16.5" customHeight="1" thickBot="1">
      <c r="A40" s="62"/>
      <c r="B40" s="395"/>
      <c r="C40" s="395"/>
      <c r="D40" s="395"/>
      <c r="E40" s="395"/>
      <c r="F40" s="395"/>
      <c r="G40" s="395"/>
      <c r="H40" s="395"/>
      <c r="I40" s="395"/>
      <c r="J40" s="395"/>
      <c r="K40" s="395"/>
      <c r="L40" s="395"/>
      <c r="M40" s="395"/>
      <c r="N40" s="395"/>
      <c r="O40" s="395"/>
      <c r="P40" s="395"/>
      <c r="Q40" s="395"/>
      <c r="R40" s="395"/>
      <c r="S40" s="66"/>
      <c r="T40" s="117" t="s">
        <v>219</v>
      </c>
      <c r="V40" s="605" t="s">
        <v>227</v>
      </c>
      <c r="W40" s="605"/>
      <c r="X40" s="605"/>
      <c r="Y40" s="616" t="s">
        <v>424</v>
      </c>
      <c r="Z40" s="617"/>
      <c r="AA40" s="618"/>
      <c r="AB40" s="616" t="s">
        <v>425</v>
      </c>
      <c r="AC40" s="617"/>
      <c r="AD40" s="618"/>
      <c r="AE40" s="616" t="s">
        <v>426</v>
      </c>
      <c r="AF40" s="617"/>
      <c r="AG40" s="618"/>
      <c r="AH40" s="619" t="s">
        <v>427</v>
      </c>
      <c r="AI40" s="619"/>
      <c r="AJ40" s="619"/>
      <c r="AK40" s="616" t="s">
        <v>428</v>
      </c>
      <c r="AL40" s="617"/>
      <c r="AM40" s="618"/>
      <c r="AN40" s="616" t="s">
        <v>97</v>
      </c>
      <c r="AO40" s="617"/>
      <c r="AP40" s="618"/>
      <c r="AR40" s="657" t="s">
        <v>227</v>
      </c>
      <c r="AS40" s="657"/>
      <c r="AT40" s="657"/>
      <c r="AU40" s="364" t="s">
        <v>451</v>
      </c>
      <c r="AV40" s="364" t="s">
        <v>452</v>
      </c>
      <c r="AW40" s="364" t="s">
        <v>453</v>
      </c>
      <c r="AX40" s="364" t="s">
        <v>454</v>
      </c>
      <c r="AY40" s="365" t="s">
        <v>455</v>
      </c>
      <c r="AZ40" s="364" t="s">
        <v>97</v>
      </c>
    </row>
    <row r="41" spans="1:52" ht="15.75" customHeight="1">
      <c r="A41" s="76" t="str">
        <f>CONCATENATE('BP1'!$D$32," Salary")</f>
        <v>Postdoctoral Associate Salary</v>
      </c>
      <c r="B41" s="402">
        <f>'BP1'!$K$32</f>
        <v>0</v>
      </c>
      <c r="C41" s="403">
        <f>'BP1'!$N$32</f>
        <v>0</v>
      </c>
      <c r="D41" s="395"/>
      <c r="E41" s="402">
        <f ca="1">'BP2'!$K$32</f>
        <v>0</v>
      </c>
      <c r="F41" s="403">
        <f ca="1">'BP2'!$N$32</f>
        <v>0</v>
      </c>
      <c r="G41" s="395"/>
      <c r="H41" s="402">
        <f ca="1">'BP3'!$K$32</f>
        <v>0</v>
      </c>
      <c r="I41" s="403">
        <f ca="1">'BP3'!$N$32</f>
        <v>0</v>
      </c>
      <c r="J41" s="395"/>
      <c r="K41" s="402">
        <f ca="1">'BP4'!$K$32</f>
        <v>0</v>
      </c>
      <c r="L41" s="403">
        <f ca="1">'BP4'!$N$32</f>
        <v>0</v>
      </c>
      <c r="M41" s="395"/>
      <c r="N41" s="402">
        <f ca="1">'BP5'!$K$32</f>
        <v>0</v>
      </c>
      <c r="O41" s="403">
        <f ca="1">'BP5'!$N$32</f>
        <v>0</v>
      </c>
      <c r="P41" s="395"/>
      <c r="Q41" s="402">
        <f t="shared" ca="1" si="0"/>
        <v>0</v>
      </c>
      <c r="R41" s="403">
        <f t="shared" ca="1" si="1"/>
        <v>0</v>
      </c>
      <c r="S41" s="67"/>
      <c r="T41" s="117" t="s">
        <v>219</v>
      </c>
      <c r="V41" s="591" t="str">
        <f>'BP1'!$D$32</f>
        <v>Postdoctoral Associate</v>
      </c>
      <c r="W41" s="591"/>
      <c r="X41" s="591"/>
      <c r="Y41" s="569" t="s">
        <v>2</v>
      </c>
      <c r="Z41" s="571" t="s">
        <v>198</v>
      </c>
      <c r="AA41" s="571" t="s">
        <v>199</v>
      </c>
      <c r="AB41" s="569" t="s">
        <v>2</v>
      </c>
      <c r="AC41" s="571" t="s">
        <v>198</v>
      </c>
      <c r="AD41" s="571" t="s">
        <v>199</v>
      </c>
      <c r="AE41" s="569" t="s">
        <v>2</v>
      </c>
      <c r="AF41" s="571" t="s">
        <v>198</v>
      </c>
      <c r="AG41" s="571" t="s">
        <v>199</v>
      </c>
      <c r="AH41" s="569" t="s">
        <v>2</v>
      </c>
      <c r="AI41" s="571" t="s">
        <v>198</v>
      </c>
      <c r="AJ41" s="571" t="s">
        <v>199</v>
      </c>
      <c r="AK41" s="569" t="s">
        <v>2</v>
      </c>
      <c r="AL41" s="571" t="s">
        <v>198</v>
      </c>
      <c r="AM41" s="571" t="s">
        <v>199</v>
      </c>
      <c r="AN41" s="569" t="s">
        <v>2</v>
      </c>
      <c r="AO41" s="571" t="s">
        <v>198</v>
      </c>
      <c r="AP41" s="571" t="s">
        <v>199</v>
      </c>
      <c r="AR41" s="658" t="str">
        <f>'BP1'!$D$32</f>
        <v>Postdoctoral Associate</v>
      </c>
      <c r="AS41" s="659"/>
      <c r="AT41" s="660"/>
      <c r="AU41" s="573" t="s">
        <v>288</v>
      </c>
      <c r="AV41" s="573" t="s">
        <v>288</v>
      </c>
      <c r="AW41" s="573" t="s">
        <v>288</v>
      </c>
      <c r="AX41" s="573" t="s">
        <v>288</v>
      </c>
      <c r="AY41" s="573" t="s">
        <v>288</v>
      </c>
      <c r="AZ41" s="573" t="s">
        <v>288</v>
      </c>
    </row>
    <row r="42" spans="1:52" ht="15.75" customHeight="1">
      <c r="A42" s="76" t="str">
        <f>CONCATENATE('BP1'!$D$32," Fringe")</f>
        <v>Postdoctoral Associate Fringe</v>
      </c>
      <c r="B42" s="396">
        <f>'BP1'!$L$32</f>
        <v>0</v>
      </c>
      <c r="C42" s="397">
        <f>'BP1'!$O$32</f>
        <v>0</v>
      </c>
      <c r="D42" s="395"/>
      <c r="E42" s="396">
        <f>'BP2'!$L$32</f>
        <v>0</v>
      </c>
      <c r="F42" s="397">
        <f ca="1">'BP2'!$O$32</f>
        <v>0</v>
      </c>
      <c r="G42" s="395"/>
      <c r="H42" s="396">
        <f>'BP3'!$L$32</f>
        <v>0</v>
      </c>
      <c r="I42" s="397">
        <f ca="1">'BP3'!$O$32</f>
        <v>0</v>
      </c>
      <c r="J42" s="395"/>
      <c r="K42" s="396">
        <f>'BP4'!$L$32</f>
        <v>0</v>
      </c>
      <c r="L42" s="397">
        <f ca="1">'BP4'!$O$32</f>
        <v>0</v>
      </c>
      <c r="M42" s="395"/>
      <c r="N42" s="396">
        <f>'BP5'!$L$32</f>
        <v>0</v>
      </c>
      <c r="O42" s="397">
        <f ca="1">'BP5'!$O$32</f>
        <v>0</v>
      </c>
      <c r="P42" s="395"/>
      <c r="Q42" s="396">
        <f t="shared" si="0"/>
        <v>0</v>
      </c>
      <c r="R42" s="397">
        <f t="shared" ca="1" si="1"/>
        <v>0</v>
      </c>
      <c r="S42" s="67"/>
      <c r="T42" s="117" t="s">
        <v>219</v>
      </c>
      <c r="V42" s="591"/>
      <c r="W42" s="591"/>
      <c r="X42" s="591"/>
      <c r="Y42" s="570">
        <f>'BP1'!H32</f>
        <v>0</v>
      </c>
      <c r="Z42" s="572">
        <f>'BP1'!I32</f>
        <v>0</v>
      </c>
      <c r="AA42" s="572">
        <f>'BP1'!J32</f>
        <v>0</v>
      </c>
      <c r="AB42" s="570">
        <f>'BP2'!H32</f>
        <v>0</v>
      </c>
      <c r="AC42" s="572">
        <f>'BP2'!I32</f>
        <v>0</v>
      </c>
      <c r="AD42" s="572">
        <f>'BP2'!J32</f>
        <v>0</v>
      </c>
      <c r="AE42" s="570">
        <f>'BP3'!H32</f>
        <v>0</v>
      </c>
      <c r="AF42" s="572">
        <f>'BP3'!I32</f>
        <v>0</v>
      </c>
      <c r="AG42" s="572">
        <f>'BP3'!J32</f>
        <v>0</v>
      </c>
      <c r="AH42" s="570">
        <f>'BP4'!H32</f>
        <v>0</v>
      </c>
      <c r="AI42" s="572">
        <f>'BP4'!I32</f>
        <v>0</v>
      </c>
      <c r="AJ42" s="572">
        <f>'BP4'!J32</f>
        <v>0</v>
      </c>
      <c r="AK42" s="570">
        <f>'BP5'!H32</f>
        <v>0</v>
      </c>
      <c r="AL42" s="572">
        <f>'BP5'!I32</f>
        <v>0</v>
      </c>
      <c r="AM42" s="572">
        <f>'BP5'!J32</f>
        <v>0</v>
      </c>
      <c r="AN42" s="570">
        <f>Y42+AB42+AE42+AH42+AK42</f>
        <v>0</v>
      </c>
      <c r="AO42" s="572">
        <f>Z42+AC42+AF42+AI42+AL42</f>
        <v>0</v>
      </c>
      <c r="AP42" s="572">
        <f>AA42+AD42+AG42+AJ42+AM42</f>
        <v>0</v>
      </c>
      <c r="AR42" s="661"/>
      <c r="AS42" s="662"/>
      <c r="AT42" s="663"/>
      <c r="AU42" s="574">
        <f>'BP1'!M32</f>
        <v>0</v>
      </c>
      <c r="AV42" s="574">
        <f>'BP2'!M32</f>
        <v>0</v>
      </c>
      <c r="AW42" s="574">
        <f>'BP3'!M32</f>
        <v>0</v>
      </c>
      <c r="AX42" s="574">
        <f>'BP4'!M32</f>
        <v>0</v>
      </c>
      <c r="AY42" s="574">
        <f>'BP5'!M32</f>
        <v>0</v>
      </c>
      <c r="AZ42" s="574">
        <f>AU42+AV42+AW42+AX42+AY42</f>
        <v>0</v>
      </c>
    </row>
    <row r="43" spans="1:52" ht="15.75" customHeight="1">
      <c r="A43" s="76" t="str">
        <f>CONCATENATE('BP1'!$D$33," Salary")</f>
        <v>Other Professional Salary</v>
      </c>
      <c r="B43" s="396">
        <f>'BP1'!$K$33</f>
        <v>0</v>
      </c>
      <c r="C43" s="397">
        <f>'BP1'!$N$33</f>
        <v>0</v>
      </c>
      <c r="D43" s="395"/>
      <c r="E43" s="396">
        <f ca="1">'BP2'!$K$33</f>
        <v>0</v>
      </c>
      <c r="F43" s="397">
        <f ca="1">'BP2'!$N$33</f>
        <v>0</v>
      </c>
      <c r="G43" s="395"/>
      <c r="H43" s="396">
        <f ca="1">'BP3'!$K$33</f>
        <v>0</v>
      </c>
      <c r="I43" s="397">
        <f ca="1">'BP3'!$N$33</f>
        <v>0</v>
      </c>
      <c r="J43" s="395"/>
      <c r="K43" s="396">
        <f ca="1">'BP4'!$K$33</f>
        <v>0</v>
      </c>
      <c r="L43" s="397">
        <f ca="1">'BP4'!$N$33</f>
        <v>0</v>
      </c>
      <c r="M43" s="395"/>
      <c r="N43" s="396">
        <f ca="1">'BP5'!$K$33</f>
        <v>0</v>
      </c>
      <c r="O43" s="397">
        <f ca="1">'BP5'!$N$33</f>
        <v>0</v>
      </c>
      <c r="P43" s="395"/>
      <c r="Q43" s="396">
        <f t="shared" ca="1" si="0"/>
        <v>0</v>
      </c>
      <c r="R43" s="397">
        <f t="shared" ca="1" si="1"/>
        <v>0</v>
      </c>
      <c r="S43" s="67"/>
      <c r="T43" s="117" t="s">
        <v>219</v>
      </c>
      <c r="V43" s="591" t="str">
        <f>'BP1'!$D$33</f>
        <v>Other Professional</v>
      </c>
      <c r="W43" s="591"/>
      <c r="X43" s="591"/>
      <c r="Y43" s="569" t="s">
        <v>2</v>
      </c>
      <c r="Z43" s="571" t="s">
        <v>198</v>
      </c>
      <c r="AA43" s="571" t="s">
        <v>199</v>
      </c>
      <c r="AB43" s="569" t="s">
        <v>2</v>
      </c>
      <c r="AC43" s="571" t="s">
        <v>198</v>
      </c>
      <c r="AD43" s="571" t="s">
        <v>199</v>
      </c>
      <c r="AE43" s="569" t="s">
        <v>2</v>
      </c>
      <c r="AF43" s="571" t="s">
        <v>198</v>
      </c>
      <c r="AG43" s="571" t="s">
        <v>199</v>
      </c>
      <c r="AH43" s="569" t="s">
        <v>2</v>
      </c>
      <c r="AI43" s="571" t="s">
        <v>198</v>
      </c>
      <c r="AJ43" s="571" t="s">
        <v>199</v>
      </c>
      <c r="AK43" s="569" t="s">
        <v>2</v>
      </c>
      <c r="AL43" s="571" t="s">
        <v>198</v>
      </c>
      <c r="AM43" s="571" t="s">
        <v>199</v>
      </c>
      <c r="AN43" s="569" t="s">
        <v>2</v>
      </c>
      <c r="AO43" s="571" t="s">
        <v>198</v>
      </c>
      <c r="AP43" s="571" t="s">
        <v>199</v>
      </c>
      <c r="AR43" s="658" t="str">
        <f>'BP1'!$D$33</f>
        <v>Other Professional</v>
      </c>
      <c r="AS43" s="659"/>
      <c r="AT43" s="660"/>
      <c r="AU43" s="573" t="s">
        <v>288</v>
      </c>
      <c r="AV43" s="573" t="s">
        <v>288</v>
      </c>
      <c r="AW43" s="573" t="s">
        <v>288</v>
      </c>
      <c r="AX43" s="573" t="s">
        <v>288</v>
      </c>
      <c r="AY43" s="573" t="s">
        <v>288</v>
      </c>
      <c r="AZ43" s="573" t="s">
        <v>288</v>
      </c>
    </row>
    <row r="44" spans="1:52" ht="15.75" customHeight="1">
      <c r="A44" s="76" t="str">
        <f>CONCATENATE('BP1'!$D$33," Fringe")</f>
        <v>Other Professional Fringe</v>
      </c>
      <c r="B44" s="396">
        <f>'BP1'!$L$33</f>
        <v>0</v>
      </c>
      <c r="C44" s="397">
        <f>'BP1'!$O$33</f>
        <v>0</v>
      </c>
      <c r="D44" s="395"/>
      <c r="E44" s="396">
        <f>'BP2'!$L$33</f>
        <v>0</v>
      </c>
      <c r="F44" s="397">
        <f ca="1">'BP2'!$O$33</f>
        <v>0</v>
      </c>
      <c r="G44" s="395"/>
      <c r="H44" s="396">
        <f>'BP3'!$L$33</f>
        <v>0</v>
      </c>
      <c r="I44" s="397">
        <f ca="1">'BP3'!$O$33</f>
        <v>0</v>
      </c>
      <c r="J44" s="395"/>
      <c r="K44" s="396">
        <f>'BP4'!$L$33</f>
        <v>0</v>
      </c>
      <c r="L44" s="397">
        <f ca="1">'BP4'!$O$33</f>
        <v>0</v>
      </c>
      <c r="M44" s="395"/>
      <c r="N44" s="396">
        <f>'BP5'!$L$33</f>
        <v>0</v>
      </c>
      <c r="O44" s="397">
        <f ca="1">'BP5'!$O$33</f>
        <v>0</v>
      </c>
      <c r="P44" s="395"/>
      <c r="Q44" s="396">
        <f t="shared" si="0"/>
        <v>0</v>
      </c>
      <c r="R44" s="397">
        <f t="shared" ca="1" si="1"/>
        <v>0</v>
      </c>
      <c r="S44" s="67"/>
      <c r="T44" s="117" t="s">
        <v>219</v>
      </c>
      <c r="V44" s="591"/>
      <c r="W44" s="591"/>
      <c r="X44" s="591"/>
      <c r="Y44" s="570">
        <f>'BP1'!H33</f>
        <v>0</v>
      </c>
      <c r="Z44" s="572">
        <f>'BP1'!I33</f>
        <v>0</v>
      </c>
      <c r="AA44" s="572">
        <f>'BP1'!J33</f>
        <v>0</v>
      </c>
      <c r="AB44" s="570">
        <f>'BP2'!H33</f>
        <v>0</v>
      </c>
      <c r="AC44" s="572">
        <f>'BP2'!I33</f>
        <v>0</v>
      </c>
      <c r="AD44" s="572">
        <f>'BP2'!J33</f>
        <v>0</v>
      </c>
      <c r="AE44" s="570">
        <f>'BP3'!H33</f>
        <v>0</v>
      </c>
      <c r="AF44" s="572">
        <f>'BP3'!I33</f>
        <v>0</v>
      </c>
      <c r="AG44" s="572">
        <f>'BP3'!J33</f>
        <v>0</v>
      </c>
      <c r="AH44" s="570">
        <f>'BP4'!H33</f>
        <v>0</v>
      </c>
      <c r="AI44" s="572">
        <f>'BP4'!I33</f>
        <v>0</v>
      </c>
      <c r="AJ44" s="572">
        <f>'BP4'!J33</f>
        <v>0</v>
      </c>
      <c r="AK44" s="570">
        <f>'BP5'!H33</f>
        <v>0</v>
      </c>
      <c r="AL44" s="572">
        <f>'BP5'!I33</f>
        <v>0</v>
      </c>
      <c r="AM44" s="572">
        <f>'BP5'!J33</f>
        <v>0</v>
      </c>
      <c r="AN44" s="570">
        <f>Y44+AB44+AE44+AH44+AK44</f>
        <v>0</v>
      </c>
      <c r="AO44" s="572">
        <f>Z44+AC44+AF44+AI44+AL44</f>
        <v>0</v>
      </c>
      <c r="AP44" s="572">
        <f>AA44+AD44+AG44+AJ44+AM44</f>
        <v>0</v>
      </c>
      <c r="AR44" s="661"/>
      <c r="AS44" s="662"/>
      <c r="AT44" s="663"/>
      <c r="AU44" s="574">
        <f>'BP1'!M33</f>
        <v>0</v>
      </c>
      <c r="AV44" s="574">
        <f>'BP2'!M33</f>
        <v>0</v>
      </c>
      <c r="AW44" s="574">
        <f>'BP3'!M33</f>
        <v>0</v>
      </c>
      <c r="AX44" s="574">
        <f>'BP4'!M33</f>
        <v>0</v>
      </c>
      <c r="AY44" s="574">
        <f>'BP5'!M33</f>
        <v>0</v>
      </c>
      <c r="AZ44" s="574">
        <f>AU44+AV44+AW44+AX44+AY44</f>
        <v>0</v>
      </c>
    </row>
    <row r="45" spans="1:52" ht="15.75" hidden="1" customHeight="1">
      <c r="A45" s="76" t="str">
        <f>CONCATENATE('BP1'!$D$34," Salary")</f>
        <v>Other Professional Salary</v>
      </c>
      <c r="B45" s="396">
        <f>'BP1'!$K$34</f>
        <v>0</v>
      </c>
      <c r="C45" s="397">
        <f>'BP1'!$N$34</f>
        <v>0</v>
      </c>
      <c r="D45" s="395"/>
      <c r="E45" s="396">
        <f ca="1">'BP2'!$K$34</f>
        <v>0</v>
      </c>
      <c r="F45" s="397">
        <f ca="1">'BP2'!$N$34</f>
        <v>0</v>
      </c>
      <c r="G45" s="395"/>
      <c r="H45" s="396">
        <f ca="1">'BP3'!$K$34</f>
        <v>0</v>
      </c>
      <c r="I45" s="397">
        <f ca="1">'BP3'!$N$34</f>
        <v>0</v>
      </c>
      <c r="J45" s="395"/>
      <c r="K45" s="396">
        <f ca="1">'BP4'!$K$34</f>
        <v>0</v>
      </c>
      <c r="L45" s="397">
        <f ca="1">'BP4'!$N$34</f>
        <v>0</v>
      </c>
      <c r="M45" s="395"/>
      <c r="N45" s="396">
        <f ca="1">'BP5'!$K$34</f>
        <v>0</v>
      </c>
      <c r="O45" s="397">
        <f ca="1">'BP5'!$N$34</f>
        <v>0</v>
      </c>
      <c r="P45" s="395"/>
      <c r="Q45" s="396">
        <f t="shared" ref="Q45:Q52" ca="1" si="2">B45+E45+H45+K45+N45</f>
        <v>0</v>
      </c>
      <c r="R45" s="397">
        <f t="shared" ref="R45:R52" ca="1" si="3">C45+F45+I45+L45+O45</f>
        <v>0</v>
      </c>
      <c r="S45" s="67"/>
      <c r="T45" s="117" t="s">
        <v>493</v>
      </c>
      <c r="V45" s="591" t="str">
        <f>'BP1'!$D$34</f>
        <v>Other Professional</v>
      </c>
      <c r="W45" s="591"/>
      <c r="X45" s="591"/>
      <c r="Y45" s="569" t="s">
        <v>2</v>
      </c>
      <c r="Z45" s="571" t="s">
        <v>198</v>
      </c>
      <c r="AA45" s="571" t="s">
        <v>199</v>
      </c>
      <c r="AB45" s="569" t="s">
        <v>2</v>
      </c>
      <c r="AC45" s="571" t="s">
        <v>198</v>
      </c>
      <c r="AD45" s="571" t="s">
        <v>199</v>
      </c>
      <c r="AE45" s="569" t="s">
        <v>2</v>
      </c>
      <c r="AF45" s="571" t="s">
        <v>198</v>
      </c>
      <c r="AG45" s="571" t="s">
        <v>199</v>
      </c>
      <c r="AH45" s="569" t="s">
        <v>2</v>
      </c>
      <c r="AI45" s="571" t="s">
        <v>198</v>
      </c>
      <c r="AJ45" s="571" t="s">
        <v>199</v>
      </c>
      <c r="AK45" s="569" t="s">
        <v>2</v>
      </c>
      <c r="AL45" s="571" t="s">
        <v>198</v>
      </c>
      <c r="AM45" s="571" t="s">
        <v>199</v>
      </c>
      <c r="AN45" s="569" t="s">
        <v>2</v>
      </c>
      <c r="AO45" s="571" t="s">
        <v>198</v>
      </c>
      <c r="AP45" s="571" t="s">
        <v>199</v>
      </c>
      <c r="AR45" s="658" t="str">
        <f>'BP1'!$D$34</f>
        <v>Other Professional</v>
      </c>
      <c r="AS45" s="659"/>
      <c r="AT45" s="660"/>
      <c r="AU45" s="573" t="s">
        <v>288</v>
      </c>
      <c r="AV45" s="573" t="s">
        <v>288</v>
      </c>
      <c r="AW45" s="573" t="s">
        <v>288</v>
      </c>
      <c r="AX45" s="573" t="s">
        <v>288</v>
      </c>
      <c r="AY45" s="573" t="s">
        <v>288</v>
      </c>
      <c r="AZ45" s="573" t="s">
        <v>288</v>
      </c>
    </row>
    <row r="46" spans="1:52" ht="15.75" hidden="1" customHeight="1">
      <c r="A46" s="76" t="str">
        <f>CONCATENATE('BP1'!$D$34," Fringe")</f>
        <v>Other Professional Fringe</v>
      </c>
      <c r="B46" s="396">
        <f>'BP1'!$L$34</f>
        <v>0</v>
      </c>
      <c r="C46" s="397">
        <f>'BP1'!$O$34</f>
        <v>0</v>
      </c>
      <c r="D46" s="395"/>
      <c r="E46" s="396">
        <f>'BP2'!$L$34</f>
        <v>0</v>
      </c>
      <c r="F46" s="397">
        <f ca="1">'BP2'!$O$34</f>
        <v>0</v>
      </c>
      <c r="G46" s="395"/>
      <c r="H46" s="396">
        <f>'BP3'!$L$34</f>
        <v>0</v>
      </c>
      <c r="I46" s="397">
        <f ca="1">'BP3'!$O$34</f>
        <v>0</v>
      </c>
      <c r="J46" s="395"/>
      <c r="K46" s="396">
        <f>'BP4'!$L$34</f>
        <v>0</v>
      </c>
      <c r="L46" s="397">
        <f ca="1">'BP4'!$O$34</f>
        <v>0</v>
      </c>
      <c r="M46" s="395"/>
      <c r="N46" s="396">
        <f>'BP5'!$L$34</f>
        <v>0</v>
      </c>
      <c r="O46" s="397">
        <f ca="1">'BP5'!$O$34</f>
        <v>0</v>
      </c>
      <c r="P46" s="395"/>
      <c r="Q46" s="396">
        <f t="shared" si="2"/>
        <v>0</v>
      </c>
      <c r="R46" s="397">
        <f t="shared" ca="1" si="3"/>
        <v>0</v>
      </c>
      <c r="S46" s="67"/>
      <c r="T46" s="117" t="s">
        <v>493</v>
      </c>
      <c r="V46" s="591"/>
      <c r="W46" s="591"/>
      <c r="X46" s="591"/>
      <c r="Y46" s="570">
        <f>'BP1'!H34</f>
        <v>0</v>
      </c>
      <c r="Z46" s="572">
        <f>'BP1'!I34</f>
        <v>0</v>
      </c>
      <c r="AA46" s="572">
        <f>'BP1'!J34</f>
        <v>0</v>
      </c>
      <c r="AB46" s="570">
        <f>'BP2'!H34</f>
        <v>0</v>
      </c>
      <c r="AC46" s="572">
        <f>'BP2'!I34</f>
        <v>0</v>
      </c>
      <c r="AD46" s="572">
        <f>'BP2'!J34</f>
        <v>0</v>
      </c>
      <c r="AE46" s="570">
        <f>'BP3'!H34</f>
        <v>0</v>
      </c>
      <c r="AF46" s="572">
        <f>'BP3'!I34</f>
        <v>0</v>
      </c>
      <c r="AG46" s="572">
        <f>'BP3'!J34</f>
        <v>0</v>
      </c>
      <c r="AH46" s="570">
        <f>'BP4'!H34</f>
        <v>0</v>
      </c>
      <c r="AI46" s="572">
        <f>'BP4'!I34</f>
        <v>0</v>
      </c>
      <c r="AJ46" s="572">
        <f>'BP4'!J34</f>
        <v>0</v>
      </c>
      <c r="AK46" s="570">
        <f>'BP5'!H34</f>
        <v>0</v>
      </c>
      <c r="AL46" s="572">
        <f>'BP5'!I34</f>
        <v>0</v>
      </c>
      <c r="AM46" s="572">
        <f>'BP5'!J34</f>
        <v>0</v>
      </c>
      <c r="AN46" s="570">
        <f>Y46+AB46+AE46+AH46+AK46</f>
        <v>0</v>
      </c>
      <c r="AO46" s="572">
        <f>Z46+AC46+AF46+AI46+AL46</f>
        <v>0</v>
      </c>
      <c r="AP46" s="572">
        <f>AA46+AD46+AG46+AJ46+AM46</f>
        <v>0</v>
      </c>
      <c r="AR46" s="661"/>
      <c r="AS46" s="662"/>
      <c r="AT46" s="663"/>
      <c r="AU46" s="574">
        <f>'BP1'!M34</f>
        <v>0</v>
      </c>
      <c r="AV46" s="574">
        <f>'BP2'!M34</f>
        <v>0</v>
      </c>
      <c r="AW46" s="574">
        <f>'BP3'!M34</f>
        <v>0</v>
      </c>
      <c r="AX46" s="574">
        <f>'BP4'!M34</f>
        <v>0</v>
      </c>
      <c r="AY46" s="574">
        <f>'BP5'!M34</f>
        <v>0</v>
      </c>
      <c r="AZ46" s="574">
        <f>AU46+AV46+AW46+AX46+AY46</f>
        <v>0</v>
      </c>
    </row>
    <row r="47" spans="1:52" ht="15.75" hidden="1" customHeight="1">
      <c r="A47" s="76" t="str">
        <f>CONCATENATE('BP1'!$D$35," Salary")</f>
        <v>Other Professional Salary</v>
      </c>
      <c r="B47" s="396">
        <f>'BP1'!$K$35</f>
        <v>0</v>
      </c>
      <c r="C47" s="397">
        <f>'BP1'!$N$35</f>
        <v>0</v>
      </c>
      <c r="D47" s="395"/>
      <c r="E47" s="396">
        <f ca="1">'BP2'!$K$35</f>
        <v>0</v>
      </c>
      <c r="F47" s="397">
        <f ca="1">'BP2'!$N$35</f>
        <v>0</v>
      </c>
      <c r="G47" s="395"/>
      <c r="H47" s="396">
        <f ca="1">'BP3'!$K$35</f>
        <v>0</v>
      </c>
      <c r="I47" s="397">
        <f ca="1">'BP3'!$N$35</f>
        <v>0</v>
      </c>
      <c r="J47" s="395"/>
      <c r="K47" s="396">
        <f ca="1">'BP4'!$K$35</f>
        <v>0</v>
      </c>
      <c r="L47" s="397">
        <f ca="1">'BP4'!$N$35</f>
        <v>0</v>
      </c>
      <c r="M47" s="395"/>
      <c r="N47" s="396">
        <f ca="1">'BP5'!$K$35</f>
        <v>0</v>
      </c>
      <c r="O47" s="397">
        <f ca="1">'BP5'!$N$35</f>
        <v>0</v>
      </c>
      <c r="P47" s="395"/>
      <c r="Q47" s="396">
        <f t="shared" ca="1" si="2"/>
        <v>0</v>
      </c>
      <c r="R47" s="397">
        <f t="shared" ca="1" si="3"/>
        <v>0</v>
      </c>
      <c r="S47" s="67"/>
      <c r="T47" s="117" t="s">
        <v>493</v>
      </c>
      <c r="V47" s="591" t="str">
        <f>'BP1'!$D$35</f>
        <v>Other Professional</v>
      </c>
      <c r="W47" s="591"/>
      <c r="X47" s="591"/>
      <c r="Y47" s="569" t="s">
        <v>2</v>
      </c>
      <c r="Z47" s="571" t="s">
        <v>198</v>
      </c>
      <c r="AA47" s="571" t="s">
        <v>199</v>
      </c>
      <c r="AB47" s="569" t="s">
        <v>2</v>
      </c>
      <c r="AC47" s="571" t="s">
        <v>198</v>
      </c>
      <c r="AD47" s="571" t="s">
        <v>199</v>
      </c>
      <c r="AE47" s="569" t="s">
        <v>2</v>
      </c>
      <c r="AF47" s="571" t="s">
        <v>198</v>
      </c>
      <c r="AG47" s="571" t="s">
        <v>199</v>
      </c>
      <c r="AH47" s="569" t="s">
        <v>2</v>
      </c>
      <c r="AI47" s="571" t="s">
        <v>198</v>
      </c>
      <c r="AJ47" s="571" t="s">
        <v>199</v>
      </c>
      <c r="AK47" s="569" t="s">
        <v>2</v>
      </c>
      <c r="AL47" s="571" t="s">
        <v>198</v>
      </c>
      <c r="AM47" s="571" t="s">
        <v>199</v>
      </c>
      <c r="AN47" s="569" t="s">
        <v>2</v>
      </c>
      <c r="AO47" s="571" t="s">
        <v>198</v>
      </c>
      <c r="AP47" s="571" t="s">
        <v>199</v>
      </c>
      <c r="AR47" s="658" t="str">
        <f>'BP1'!$D$35</f>
        <v>Other Professional</v>
      </c>
      <c r="AS47" s="659"/>
      <c r="AT47" s="660"/>
      <c r="AU47" s="573" t="s">
        <v>288</v>
      </c>
      <c r="AV47" s="573" t="s">
        <v>288</v>
      </c>
      <c r="AW47" s="573" t="s">
        <v>288</v>
      </c>
      <c r="AX47" s="573" t="s">
        <v>288</v>
      </c>
      <c r="AY47" s="573" t="s">
        <v>288</v>
      </c>
      <c r="AZ47" s="573" t="s">
        <v>288</v>
      </c>
    </row>
    <row r="48" spans="1:52" ht="15.75" hidden="1" customHeight="1">
      <c r="A48" s="76" t="str">
        <f>CONCATENATE('BP1'!$D$35," Fringe")</f>
        <v>Other Professional Fringe</v>
      </c>
      <c r="B48" s="396">
        <f>'BP1'!$L$35</f>
        <v>0</v>
      </c>
      <c r="C48" s="397">
        <f>'BP1'!$O$35</f>
        <v>0</v>
      </c>
      <c r="D48" s="395"/>
      <c r="E48" s="396">
        <f>'BP2'!$L$35</f>
        <v>0</v>
      </c>
      <c r="F48" s="397">
        <f ca="1">'BP2'!$O$35</f>
        <v>0</v>
      </c>
      <c r="G48" s="395"/>
      <c r="H48" s="396">
        <f>'BP3'!$L$35</f>
        <v>0</v>
      </c>
      <c r="I48" s="397">
        <f ca="1">'BP3'!$O$35</f>
        <v>0</v>
      </c>
      <c r="J48" s="395"/>
      <c r="K48" s="396">
        <f>'BP4'!$L$35</f>
        <v>0</v>
      </c>
      <c r="L48" s="397">
        <f ca="1">'BP4'!$O$35</f>
        <v>0</v>
      </c>
      <c r="M48" s="395"/>
      <c r="N48" s="396">
        <f>'BP5'!$L$35</f>
        <v>0</v>
      </c>
      <c r="O48" s="397">
        <f ca="1">'BP5'!$O$35</f>
        <v>0</v>
      </c>
      <c r="P48" s="395"/>
      <c r="Q48" s="396">
        <f t="shared" si="2"/>
        <v>0</v>
      </c>
      <c r="R48" s="397">
        <f t="shared" ca="1" si="3"/>
        <v>0</v>
      </c>
      <c r="S48" s="67"/>
      <c r="T48" s="117" t="s">
        <v>493</v>
      </c>
      <c r="V48" s="591"/>
      <c r="W48" s="591"/>
      <c r="X48" s="591"/>
      <c r="Y48" s="570">
        <f>'BP1'!H35</f>
        <v>0</v>
      </c>
      <c r="Z48" s="572">
        <f>'BP1'!I35</f>
        <v>0</v>
      </c>
      <c r="AA48" s="572">
        <f>'BP1'!J35</f>
        <v>0</v>
      </c>
      <c r="AB48" s="570">
        <f>'BP2'!H35</f>
        <v>0</v>
      </c>
      <c r="AC48" s="572">
        <f>'BP2'!I35</f>
        <v>0</v>
      </c>
      <c r="AD48" s="572">
        <f>'BP2'!J35</f>
        <v>0</v>
      </c>
      <c r="AE48" s="570">
        <f>'BP3'!H35</f>
        <v>0</v>
      </c>
      <c r="AF48" s="572">
        <f>'BP3'!I35</f>
        <v>0</v>
      </c>
      <c r="AG48" s="572">
        <f>'BP3'!J35</f>
        <v>0</v>
      </c>
      <c r="AH48" s="570">
        <f>'BP4'!H35</f>
        <v>0</v>
      </c>
      <c r="AI48" s="572">
        <f>'BP4'!I35</f>
        <v>0</v>
      </c>
      <c r="AJ48" s="572">
        <f>'BP4'!J35</f>
        <v>0</v>
      </c>
      <c r="AK48" s="570">
        <f>'BP5'!H35</f>
        <v>0</v>
      </c>
      <c r="AL48" s="572">
        <f>'BP5'!I35</f>
        <v>0</v>
      </c>
      <c r="AM48" s="572">
        <f>'BP5'!J35</f>
        <v>0</v>
      </c>
      <c r="AN48" s="570">
        <f>Y48+AB48+AE48+AH48+AK48</f>
        <v>0</v>
      </c>
      <c r="AO48" s="572">
        <f>Z48+AC48+AF48+AI48+AL48</f>
        <v>0</v>
      </c>
      <c r="AP48" s="572">
        <f>AA48+AD48+AG48+AJ48+AM48</f>
        <v>0</v>
      </c>
      <c r="AR48" s="661"/>
      <c r="AS48" s="662"/>
      <c r="AT48" s="663"/>
      <c r="AU48" s="574">
        <f>'BP1'!M35</f>
        <v>0</v>
      </c>
      <c r="AV48" s="574">
        <f>'BP2'!M35</f>
        <v>0</v>
      </c>
      <c r="AW48" s="574">
        <f>'BP3'!M35</f>
        <v>0</v>
      </c>
      <c r="AX48" s="574">
        <f>'BP4'!M35</f>
        <v>0</v>
      </c>
      <c r="AY48" s="574">
        <f>'BP5'!M35</f>
        <v>0</v>
      </c>
      <c r="AZ48" s="574">
        <f>AU48+AV48+AW48+AX48+AY48</f>
        <v>0</v>
      </c>
    </row>
    <row r="49" spans="1:52" ht="15.75" hidden="1" customHeight="1">
      <c r="A49" s="76" t="str">
        <f>CONCATENATE('BP1'!$D$36," Salary")</f>
        <v>Other Professional Salary</v>
      </c>
      <c r="B49" s="396">
        <f>'BP1'!$K$36</f>
        <v>0</v>
      </c>
      <c r="C49" s="397">
        <f>'BP1'!$N$36</f>
        <v>0</v>
      </c>
      <c r="D49" s="395"/>
      <c r="E49" s="396">
        <f ca="1">'BP2'!$K$36</f>
        <v>0</v>
      </c>
      <c r="F49" s="397">
        <f ca="1">'BP2'!$N$36</f>
        <v>0</v>
      </c>
      <c r="G49" s="395"/>
      <c r="H49" s="396">
        <f ca="1">'BP3'!$K$36</f>
        <v>0</v>
      </c>
      <c r="I49" s="397">
        <f ca="1">'BP3'!$N$36</f>
        <v>0</v>
      </c>
      <c r="J49" s="395"/>
      <c r="K49" s="396">
        <f ca="1">'BP4'!$K$36</f>
        <v>0</v>
      </c>
      <c r="L49" s="397">
        <f ca="1">'BP4'!$N$36</f>
        <v>0</v>
      </c>
      <c r="M49" s="395"/>
      <c r="N49" s="396">
        <f ca="1">'BP5'!$K$36</f>
        <v>0</v>
      </c>
      <c r="O49" s="397">
        <f ca="1">'BP5'!$N$36</f>
        <v>0</v>
      </c>
      <c r="P49" s="395"/>
      <c r="Q49" s="396">
        <f t="shared" ca="1" si="2"/>
        <v>0</v>
      </c>
      <c r="R49" s="397">
        <f t="shared" ca="1" si="3"/>
        <v>0</v>
      </c>
      <c r="S49" s="67"/>
      <c r="T49" s="117" t="s">
        <v>493</v>
      </c>
      <c r="V49" s="591" t="str">
        <f>'BP1'!$D$36</f>
        <v>Other Professional</v>
      </c>
      <c r="W49" s="591"/>
      <c r="X49" s="591"/>
      <c r="Y49" s="569" t="s">
        <v>2</v>
      </c>
      <c r="Z49" s="571" t="s">
        <v>198</v>
      </c>
      <c r="AA49" s="571" t="s">
        <v>199</v>
      </c>
      <c r="AB49" s="569" t="s">
        <v>2</v>
      </c>
      <c r="AC49" s="571" t="s">
        <v>198</v>
      </c>
      <c r="AD49" s="571" t="s">
        <v>199</v>
      </c>
      <c r="AE49" s="569" t="s">
        <v>2</v>
      </c>
      <c r="AF49" s="571" t="s">
        <v>198</v>
      </c>
      <c r="AG49" s="571" t="s">
        <v>199</v>
      </c>
      <c r="AH49" s="569" t="s">
        <v>2</v>
      </c>
      <c r="AI49" s="571" t="s">
        <v>198</v>
      </c>
      <c r="AJ49" s="571" t="s">
        <v>199</v>
      </c>
      <c r="AK49" s="569" t="s">
        <v>2</v>
      </c>
      <c r="AL49" s="571" t="s">
        <v>198</v>
      </c>
      <c r="AM49" s="571" t="s">
        <v>199</v>
      </c>
      <c r="AN49" s="569" t="s">
        <v>2</v>
      </c>
      <c r="AO49" s="571" t="s">
        <v>198</v>
      </c>
      <c r="AP49" s="571" t="s">
        <v>199</v>
      </c>
      <c r="AR49" s="658" t="str">
        <f>'BP1'!$D$36</f>
        <v>Other Professional</v>
      </c>
      <c r="AS49" s="659"/>
      <c r="AT49" s="660"/>
      <c r="AU49" s="573" t="s">
        <v>288</v>
      </c>
      <c r="AV49" s="573" t="s">
        <v>288</v>
      </c>
      <c r="AW49" s="573" t="s">
        <v>288</v>
      </c>
      <c r="AX49" s="573" t="s">
        <v>288</v>
      </c>
      <c r="AY49" s="573" t="s">
        <v>288</v>
      </c>
      <c r="AZ49" s="573" t="s">
        <v>288</v>
      </c>
    </row>
    <row r="50" spans="1:52" ht="15.75" hidden="1" customHeight="1">
      <c r="A50" s="76" t="str">
        <f>CONCATENATE('BP1'!$D$36," Fringe")</f>
        <v>Other Professional Fringe</v>
      </c>
      <c r="B50" s="396">
        <f>'BP1'!$L$36</f>
        <v>0</v>
      </c>
      <c r="C50" s="397">
        <f>'BP1'!$O$36</f>
        <v>0</v>
      </c>
      <c r="D50" s="395"/>
      <c r="E50" s="396">
        <f>'BP2'!$L$36</f>
        <v>0</v>
      </c>
      <c r="F50" s="397">
        <f ca="1">'BP2'!$O$36</f>
        <v>0</v>
      </c>
      <c r="G50" s="395"/>
      <c r="H50" s="396">
        <f>'BP3'!$L$36</f>
        <v>0</v>
      </c>
      <c r="I50" s="397">
        <f ca="1">'BP3'!$O$36</f>
        <v>0</v>
      </c>
      <c r="J50" s="395"/>
      <c r="K50" s="396">
        <f>'BP4'!$L$36</f>
        <v>0</v>
      </c>
      <c r="L50" s="397">
        <f ca="1">'BP4'!$O$36</f>
        <v>0</v>
      </c>
      <c r="M50" s="395"/>
      <c r="N50" s="396">
        <f>'BP5'!$L$36</f>
        <v>0</v>
      </c>
      <c r="O50" s="397">
        <f ca="1">'BP5'!$O$36</f>
        <v>0</v>
      </c>
      <c r="P50" s="395"/>
      <c r="Q50" s="396">
        <f t="shared" si="2"/>
        <v>0</v>
      </c>
      <c r="R50" s="397">
        <f t="shared" ca="1" si="3"/>
        <v>0</v>
      </c>
      <c r="S50" s="67"/>
      <c r="T50" s="117" t="s">
        <v>493</v>
      </c>
      <c r="V50" s="591"/>
      <c r="W50" s="591"/>
      <c r="X50" s="591"/>
      <c r="Y50" s="570">
        <f>'BP1'!H36</f>
        <v>0</v>
      </c>
      <c r="Z50" s="572">
        <f>'BP1'!I36</f>
        <v>0</v>
      </c>
      <c r="AA50" s="572">
        <f>'BP1'!J36</f>
        <v>0</v>
      </c>
      <c r="AB50" s="570">
        <f>'BP2'!H36</f>
        <v>0</v>
      </c>
      <c r="AC50" s="572">
        <f>'BP2'!I36</f>
        <v>0</v>
      </c>
      <c r="AD50" s="572">
        <f>'BP2'!J36</f>
        <v>0</v>
      </c>
      <c r="AE50" s="570">
        <f>'BP3'!H36</f>
        <v>0</v>
      </c>
      <c r="AF50" s="572">
        <f>'BP3'!I36</f>
        <v>0</v>
      </c>
      <c r="AG50" s="572">
        <f>'BP3'!J36</f>
        <v>0</v>
      </c>
      <c r="AH50" s="570">
        <f>'BP4'!H36</f>
        <v>0</v>
      </c>
      <c r="AI50" s="572">
        <f>'BP4'!I36</f>
        <v>0</v>
      </c>
      <c r="AJ50" s="572">
        <f>'BP4'!J36</f>
        <v>0</v>
      </c>
      <c r="AK50" s="570">
        <f>'BP5'!H36</f>
        <v>0</v>
      </c>
      <c r="AL50" s="572">
        <f>'BP5'!I36</f>
        <v>0</v>
      </c>
      <c r="AM50" s="572">
        <f>'BP5'!J36</f>
        <v>0</v>
      </c>
      <c r="AN50" s="570">
        <f>Y50+AB50+AE50+AH50+AK50</f>
        <v>0</v>
      </c>
      <c r="AO50" s="572">
        <f>Z50+AC50+AF50+AI50+AL50</f>
        <v>0</v>
      </c>
      <c r="AP50" s="572">
        <f>AA50+AD50+AG50+AJ50+AM50</f>
        <v>0</v>
      </c>
      <c r="AR50" s="661"/>
      <c r="AS50" s="662"/>
      <c r="AT50" s="663"/>
      <c r="AU50" s="574">
        <f>'BP1'!M36</f>
        <v>0</v>
      </c>
      <c r="AV50" s="574">
        <f>'BP2'!M36</f>
        <v>0</v>
      </c>
      <c r="AW50" s="574">
        <f>'BP3'!M36</f>
        <v>0</v>
      </c>
      <c r="AX50" s="574">
        <f>'BP4'!M36</f>
        <v>0</v>
      </c>
      <c r="AY50" s="574">
        <f>'BP5'!M36</f>
        <v>0</v>
      </c>
      <c r="AZ50" s="574">
        <f>AU50+AV50+AW50+AX50+AY50</f>
        <v>0</v>
      </c>
    </row>
    <row r="51" spans="1:52" ht="15.75" hidden="1" customHeight="1">
      <c r="A51" s="76" t="str">
        <f>CONCATENATE('BP1'!$D$37," Salary")</f>
        <v>Other Professional Salary</v>
      </c>
      <c r="B51" s="396">
        <f>'BP1'!$K$37</f>
        <v>0</v>
      </c>
      <c r="C51" s="397">
        <f>'BP1'!$N$37</f>
        <v>0</v>
      </c>
      <c r="D51" s="395"/>
      <c r="E51" s="396">
        <f ca="1">'BP2'!$K$37</f>
        <v>0</v>
      </c>
      <c r="F51" s="397">
        <f ca="1">'BP2'!$N$37</f>
        <v>0</v>
      </c>
      <c r="G51" s="395"/>
      <c r="H51" s="396">
        <f ca="1">'BP3'!$K$37</f>
        <v>0</v>
      </c>
      <c r="I51" s="397">
        <f ca="1">'BP3'!$N$37</f>
        <v>0</v>
      </c>
      <c r="J51" s="395"/>
      <c r="K51" s="396">
        <f ca="1">'BP4'!$K$37</f>
        <v>0</v>
      </c>
      <c r="L51" s="397">
        <f ca="1">'BP4'!$N$37</f>
        <v>0</v>
      </c>
      <c r="M51" s="395"/>
      <c r="N51" s="396">
        <f ca="1">'BP5'!$K$37</f>
        <v>0</v>
      </c>
      <c r="O51" s="397">
        <f ca="1">'BP5'!$N$37</f>
        <v>0</v>
      </c>
      <c r="P51" s="395"/>
      <c r="Q51" s="396">
        <f t="shared" ca="1" si="2"/>
        <v>0</v>
      </c>
      <c r="R51" s="397">
        <f t="shared" ca="1" si="3"/>
        <v>0</v>
      </c>
      <c r="S51" s="67"/>
      <c r="T51" s="117" t="s">
        <v>493</v>
      </c>
      <c r="V51" s="591" t="str">
        <f>'BP1'!$D$37</f>
        <v>Other Professional</v>
      </c>
      <c r="W51" s="591"/>
      <c r="X51" s="591"/>
      <c r="Y51" s="569" t="s">
        <v>2</v>
      </c>
      <c r="Z51" s="571" t="s">
        <v>198</v>
      </c>
      <c r="AA51" s="571" t="s">
        <v>199</v>
      </c>
      <c r="AB51" s="569" t="s">
        <v>2</v>
      </c>
      <c r="AC51" s="571" t="s">
        <v>198</v>
      </c>
      <c r="AD51" s="571" t="s">
        <v>199</v>
      </c>
      <c r="AE51" s="569" t="s">
        <v>2</v>
      </c>
      <c r="AF51" s="571" t="s">
        <v>198</v>
      </c>
      <c r="AG51" s="571" t="s">
        <v>199</v>
      </c>
      <c r="AH51" s="569" t="s">
        <v>2</v>
      </c>
      <c r="AI51" s="571" t="s">
        <v>198</v>
      </c>
      <c r="AJ51" s="571" t="s">
        <v>199</v>
      </c>
      <c r="AK51" s="569" t="s">
        <v>2</v>
      </c>
      <c r="AL51" s="571" t="s">
        <v>198</v>
      </c>
      <c r="AM51" s="571" t="s">
        <v>199</v>
      </c>
      <c r="AN51" s="569" t="s">
        <v>2</v>
      </c>
      <c r="AO51" s="571" t="s">
        <v>198</v>
      </c>
      <c r="AP51" s="571" t="s">
        <v>199</v>
      </c>
      <c r="AR51" s="658" t="str">
        <f>'BP1'!$D$37</f>
        <v>Other Professional</v>
      </c>
      <c r="AS51" s="659"/>
      <c r="AT51" s="660"/>
      <c r="AU51" s="573" t="s">
        <v>288</v>
      </c>
      <c r="AV51" s="573" t="s">
        <v>288</v>
      </c>
      <c r="AW51" s="573" t="s">
        <v>288</v>
      </c>
      <c r="AX51" s="573" t="s">
        <v>288</v>
      </c>
      <c r="AY51" s="573" t="s">
        <v>288</v>
      </c>
      <c r="AZ51" s="573" t="s">
        <v>288</v>
      </c>
    </row>
    <row r="52" spans="1:52" ht="15.75" hidden="1" customHeight="1">
      <c r="A52" s="76" t="str">
        <f>CONCATENATE('BP1'!$D$37," Fringe")</f>
        <v>Other Professional Fringe</v>
      </c>
      <c r="B52" s="396">
        <f>'BP1'!$L$37</f>
        <v>0</v>
      </c>
      <c r="C52" s="397">
        <f>'BP1'!$O$37</f>
        <v>0</v>
      </c>
      <c r="D52" s="395"/>
      <c r="E52" s="396">
        <f>'BP2'!$L$37</f>
        <v>0</v>
      </c>
      <c r="F52" s="397">
        <f ca="1">'BP2'!$O$37</f>
        <v>0</v>
      </c>
      <c r="G52" s="395"/>
      <c r="H52" s="396">
        <f>'BP3'!$L$37</f>
        <v>0</v>
      </c>
      <c r="I52" s="397">
        <f ca="1">'BP3'!$O$37</f>
        <v>0</v>
      </c>
      <c r="J52" s="395"/>
      <c r="K52" s="396">
        <f>'BP4'!$L$37</f>
        <v>0</v>
      </c>
      <c r="L52" s="397">
        <f ca="1">'BP4'!$O$37</f>
        <v>0</v>
      </c>
      <c r="M52" s="395"/>
      <c r="N52" s="396">
        <f>'BP5'!$L$37</f>
        <v>0</v>
      </c>
      <c r="O52" s="397">
        <f ca="1">'BP5'!$O$37</f>
        <v>0</v>
      </c>
      <c r="P52" s="395"/>
      <c r="Q52" s="396">
        <f t="shared" si="2"/>
        <v>0</v>
      </c>
      <c r="R52" s="397">
        <f t="shared" ca="1" si="3"/>
        <v>0</v>
      </c>
      <c r="S52" s="67"/>
      <c r="T52" s="117" t="s">
        <v>493</v>
      </c>
      <c r="V52" s="591"/>
      <c r="W52" s="591"/>
      <c r="X52" s="591"/>
      <c r="Y52" s="570">
        <f>'BP1'!H37</f>
        <v>0</v>
      </c>
      <c r="Z52" s="572">
        <f>'BP1'!I37</f>
        <v>0</v>
      </c>
      <c r="AA52" s="572">
        <f>'BP1'!J37</f>
        <v>0</v>
      </c>
      <c r="AB52" s="570">
        <f>'BP2'!H37</f>
        <v>0</v>
      </c>
      <c r="AC52" s="572">
        <f>'BP2'!I37</f>
        <v>0</v>
      </c>
      <c r="AD52" s="572">
        <f>'BP2'!J37</f>
        <v>0</v>
      </c>
      <c r="AE52" s="570">
        <f>'BP3'!H37</f>
        <v>0</v>
      </c>
      <c r="AF52" s="572">
        <f>'BP3'!I37</f>
        <v>0</v>
      </c>
      <c r="AG52" s="572">
        <f>'BP3'!J37</f>
        <v>0</v>
      </c>
      <c r="AH52" s="570">
        <f>'BP4'!H37</f>
        <v>0</v>
      </c>
      <c r="AI52" s="572">
        <f>'BP4'!I37</f>
        <v>0</v>
      </c>
      <c r="AJ52" s="572">
        <f>'BP4'!J37</f>
        <v>0</v>
      </c>
      <c r="AK52" s="570">
        <f>'BP5'!H37</f>
        <v>0</v>
      </c>
      <c r="AL52" s="572">
        <f>'BP5'!I37</f>
        <v>0</v>
      </c>
      <c r="AM52" s="572">
        <f>'BP5'!J37</f>
        <v>0</v>
      </c>
      <c r="AN52" s="570">
        <f>Y52+AB52+AE52+AH52+AK52</f>
        <v>0</v>
      </c>
      <c r="AO52" s="572">
        <f>Z52+AC52+AF52+AI52+AL52</f>
        <v>0</v>
      </c>
      <c r="AP52" s="572">
        <f>AA52+AD52+AG52+AJ52+AM52</f>
        <v>0</v>
      </c>
      <c r="AR52" s="661"/>
      <c r="AS52" s="662"/>
      <c r="AT52" s="663"/>
      <c r="AU52" s="574">
        <f>'BP1'!M37</f>
        <v>0</v>
      </c>
      <c r="AV52" s="574">
        <f>'BP2'!M37</f>
        <v>0</v>
      </c>
      <c r="AW52" s="574">
        <f>'BP3'!M37</f>
        <v>0</v>
      </c>
      <c r="AX52" s="574">
        <f>'BP4'!M37</f>
        <v>0</v>
      </c>
      <c r="AY52" s="574">
        <f>'BP5'!M37</f>
        <v>0</v>
      </c>
      <c r="AZ52" s="574">
        <f>AU52+AV52+AW52+AX52+AY52</f>
        <v>0</v>
      </c>
    </row>
    <row r="53" spans="1:52" ht="15.75" customHeight="1">
      <c r="A53" s="76" t="str">
        <f>CONCATENATE('BP1'!$D$38," Salary")</f>
        <v>Graduate Student Salary</v>
      </c>
      <c r="B53" s="396">
        <f>'BP1'!$K$38</f>
        <v>0</v>
      </c>
      <c r="C53" s="397">
        <f>'BP1'!$N$38</f>
        <v>0</v>
      </c>
      <c r="D53" s="395"/>
      <c r="E53" s="396">
        <f ca="1">'BP2'!$K$38</f>
        <v>0</v>
      </c>
      <c r="F53" s="397">
        <f ca="1">'BP2'!$N$38</f>
        <v>0</v>
      </c>
      <c r="G53" s="395"/>
      <c r="H53" s="396">
        <f ca="1">'BP3'!$K$38</f>
        <v>0</v>
      </c>
      <c r="I53" s="397">
        <f ca="1">'BP3'!$N$38</f>
        <v>0</v>
      </c>
      <c r="J53" s="395"/>
      <c r="K53" s="396">
        <f ca="1">'BP4'!$K$38</f>
        <v>0</v>
      </c>
      <c r="L53" s="397">
        <f ca="1">'BP4'!$N$38</f>
        <v>0</v>
      </c>
      <c r="M53" s="395"/>
      <c r="N53" s="396">
        <f ca="1">'BP5'!$K$38</f>
        <v>0</v>
      </c>
      <c r="O53" s="397">
        <f ca="1">'BP5'!$N$38</f>
        <v>0</v>
      </c>
      <c r="P53" s="395"/>
      <c r="Q53" s="396">
        <f t="shared" ca="1" si="0"/>
        <v>0</v>
      </c>
      <c r="R53" s="397">
        <f t="shared" ca="1" si="1"/>
        <v>0</v>
      </c>
      <c r="S53" s="67"/>
      <c r="T53" s="117" t="s">
        <v>219</v>
      </c>
      <c r="V53" s="591" t="str">
        <f>'BP1'!$D$38</f>
        <v>Graduate Student</v>
      </c>
      <c r="W53" s="591"/>
      <c r="X53" s="591"/>
      <c r="Y53" s="569" t="s">
        <v>2</v>
      </c>
      <c r="Z53" s="571" t="s">
        <v>198</v>
      </c>
      <c r="AA53" s="571" t="s">
        <v>199</v>
      </c>
      <c r="AB53" s="569" t="s">
        <v>2</v>
      </c>
      <c r="AC53" s="571" t="s">
        <v>198</v>
      </c>
      <c r="AD53" s="571" t="s">
        <v>199</v>
      </c>
      <c r="AE53" s="569" t="s">
        <v>2</v>
      </c>
      <c r="AF53" s="571" t="s">
        <v>198</v>
      </c>
      <c r="AG53" s="571" t="s">
        <v>199</v>
      </c>
      <c r="AH53" s="569" t="s">
        <v>2</v>
      </c>
      <c r="AI53" s="571" t="s">
        <v>198</v>
      </c>
      <c r="AJ53" s="571" t="s">
        <v>199</v>
      </c>
      <c r="AK53" s="569" t="s">
        <v>2</v>
      </c>
      <c r="AL53" s="571" t="s">
        <v>198</v>
      </c>
      <c r="AM53" s="571" t="s">
        <v>199</v>
      </c>
      <c r="AN53" s="569" t="s">
        <v>2</v>
      </c>
      <c r="AO53" s="571" t="s">
        <v>198</v>
      </c>
      <c r="AP53" s="571" t="s">
        <v>199</v>
      </c>
      <c r="AR53" s="658" t="str">
        <f>'BP1'!$D$38</f>
        <v>Graduate Student</v>
      </c>
      <c r="AS53" s="659"/>
      <c r="AT53" s="660"/>
      <c r="AU53" s="573" t="s">
        <v>288</v>
      </c>
      <c r="AV53" s="573" t="s">
        <v>288</v>
      </c>
      <c r="AW53" s="573" t="s">
        <v>288</v>
      </c>
      <c r="AX53" s="573" t="s">
        <v>288</v>
      </c>
      <c r="AY53" s="573" t="s">
        <v>288</v>
      </c>
      <c r="AZ53" s="573" t="s">
        <v>288</v>
      </c>
    </row>
    <row r="54" spans="1:52" ht="15.75" customHeight="1">
      <c r="A54" s="76" t="str">
        <f>CONCATENATE('BP1'!$D$38," Fringe")</f>
        <v>Graduate Student Fringe</v>
      </c>
      <c r="B54" s="396">
        <f>'BP1'!$L$38</f>
        <v>0</v>
      </c>
      <c r="C54" s="397">
        <f>'BP1'!$O$38</f>
        <v>0</v>
      </c>
      <c r="D54" s="395"/>
      <c r="E54" s="396">
        <f>'BP2'!$L$38</f>
        <v>0</v>
      </c>
      <c r="F54" s="397">
        <f ca="1">'BP2'!$O$38</f>
        <v>0</v>
      </c>
      <c r="G54" s="395"/>
      <c r="H54" s="396">
        <f>'BP3'!$L$38</f>
        <v>0</v>
      </c>
      <c r="I54" s="397">
        <f ca="1">'BP3'!$O$38</f>
        <v>0</v>
      </c>
      <c r="J54" s="395"/>
      <c r="K54" s="396">
        <f>'BP4'!$L$38</f>
        <v>0</v>
      </c>
      <c r="L54" s="397">
        <f ca="1">'BP4'!$O$38</f>
        <v>0</v>
      </c>
      <c r="M54" s="395"/>
      <c r="N54" s="396">
        <f>'BP5'!$L$38</f>
        <v>0</v>
      </c>
      <c r="O54" s="397">
        <f ca="1">'BP5'!$O$38</f>
        <v>0</v>
      </c>
      <c r="P54" s="395"/>
      <c r="Q54" s="396">
        <f t="shared" si="0"/>
        <v>0</v>
      </c>
      <c r="R54" s="397">
        <f t="shared" ca="1" si="1"/>
        <v>0</v>
      </c>
      <c r="S54" s="67"/>
      <c r="T54" s="117" t="s">
        <v>219</v>
      </c>
      <c r="V54" s="591"/>
      <c r="W54" s="591"/>
      <c r="X54" s="591"/>
      <c r="Y54" s="570">
        <f>'BP1'!H38</f>
        <v>0</v>
      </c>
      <c r="Z54" s="572">
        <f>'BP1'!I38</f>
        <v>0</v>
      </c>
      <c r="AA54" s="572">
        <f>'BP1'!J38</f>
        <v>0</v>
      </c>
      <c r="AB54" s="570">
        <f>'BP2'!H38</f>
        <v>0</v>
      </c>
      <c r="AC54" s="572">
        <f>'BP2'!I38</f>
        <v>0</v>
      </c>
      <c r="AD54" s="572">
        <f>'BP2'!J38</f>
        <v>0</v>
      </c>
      <c r="AE54" s="570">
        <f>'BP3'!H38</f>
        <v>0</v>
      </c>
      <c r="AF54" s="572">
        <f>'BP3'!I38</f>
        <v>0</v>
      </c>
      <c r="AG54" s="572">
        <f>'BP3'!J38</f>
        <v>0</v>
      </c>
      <c r="AH54" s="570">
        <f>'BP4'!H38</f>
        <v>0</v>
      </c>
      <c r="AI54" s="572">
        <f>'BP4'!I38</f>
        <v>0</v>
      </c>
      <c r="AJ54" s="572">
        <f>'BP4'!J38</f>
        <v>0</v>
      </c>
      <c r="AK54" s="570">
        <f>'BP5'!H38</f>
        <v>0</v>
      </c>
      <c r="AL54" s="572">
        <f>'BP5'!I38</f>
        <v>0</v>
      </c>
      <c r="AM54" s="572">
        <f>'BP5'!J38</f>
        <v>0</v>
      </c>
      <c r="AN54" s="570">
        <f>Y54+AB54+AE54+AH54+AK54</f>
        <v>0</v>
      </c>
      <c r="AO54" s="572">
        <f>Z54+AC54+AF54+AI54+AL54</f>
        <v>0</v>
      </c>
      <c r="AP54" s="572">
        <f>AA54+AD54+AG54+AJ54+AM54</f>
        <v>0</v>
      </c>
      <c r="AR54" s="661"/>
      <c r="AS54" s="662"/>
      <c r="AT54" s="663"/>
      <c r="AU54" s="574">
        <f>'BP1'!M38</f>
        <v>0</v>
      </c>
      <c r="AV54" s="574">
        <f>'BP2'!M38</f>
        <v>0</v>
      </c>
      <c r="AW54" s="574">
        <f>'BP3'!M38</f>
        <v>0</v>
      </c>
      <c r="AX54" s="574">
        <f>'BP4'!M38</f>
        <v>0</v>
      </c>
      <c r="AY54" s="574">
        <f>'BP5'!M38</f>
        <v>0</v>
      </c>
      <c r="AZ54" s="574">
        <f>AU54+AV54+AW54+AX54+AY54</f>
        <v>0</v>
      </c>
    </row>
    <row r="55" spans="1:52" ht="15.75" customHeight="1">
      <c r="A55" s="76" t="str">
        <f>CONCATENATE('BP1'!$D$39," Salary")</f>
        <v>Undergraduate Student Salary</v>
      </c>
      <c r="B55" s="396">
        <f>'BP1'!$K$39</f>
        <v>0</v>
      </c>
      <c r="C55" s="397">
        <f>'BP1'!$N$39</f>
        <v>0</v>
      </c>
      <c r="D55" s="395"/>
      <c r="E55" s="396">
        <f ca="1">'BP2'!$K$39</f>
        <v>0</v>
      </c>
      <c r="F55" s="397">
        <f ca="1">'BP2'!$N$39</f>
        <v>0</v>
      </c>
      <c r="G55" s="395"/>
      <c r="H55" s="396">
        <f ca="1">'BP3'!$K$39</f>
        <v>0</v>
      </c>
      <c r="I55" s="397">
        <f ca="1">'BP3'!$N$39</f>
        <v>0</v>
      </c>
      <c r="J55" s="395"/>
      <c r="K55" s="396">
        <f ca="1">'BP4'!$K$39</f>
        <v>0</v>
      </c>
      <c r="L55" s="397">
        <f ca="1">'BP4'!$N$39</f>
        <v>0</v>
      </c>
      <c r="M55" s="395"/>
      <c r="N55" s="396">
        <f ca="1">'BP5'!$K$39</f>
        <v>0</v>
      </c>
      <c r="O55" s="397">
        <f ca="1">'BP5'!$N$39</f>
        <v>0</v>
      </c>
      <c r="P55" s="395"/>
      <c r="Q55" s="396">
        <f t="shared" ca="1" si="0"/>
        <v>0</v>
      </c>
      <c r="R55" s="397">
        <f t="shared" ca="1" si="1"/>
        <v>0</v>
      </c>
      <c r="S55" s="67"/>
      <c r="T55" s="117" t="s">
        <v>219</v>
      </c>
      <c r="V55" s="591" t="str">
        <f>'BP1'!$D$39</f>
        <v>Undergraduate Student</v>
      </c>
      <c r="W55" s="591"/>
      <c r="X55" s="591"/>
      <c r="Y55" s="569" t="s">
        <v>2</v>
      </c>
      <c r="Z55" s="571" t="s">
        <v>198</v>
      </c>
      <c r="AA55" s="571" t="s">
        <v>199</v>
      </c>
      <c r="AB55" s="569" t="s">
        <v>2</v>
      </c>
      <c r="AC55" s="571" t="s">
        <v>198</v>
      </c>
      <c r="AD55" s="571" t="s">
        <v>199</v>
      </c>
      <c r="AE55" s="569" t="s">
        <v>2</v>
      </c>
      <c r="AF55" s="571" t="s">
        <v>198</v>
      </c>
      <c r="AG55" s="571" t="s">
        <v>199</v>
      </c>
      <c r="AH55" s="569" t="s">
        <v>2</v>
      </c>
      <c r="AI55" s="571" t="s">
        <v>198</v>
      </c>
      <c r="AJ55" s="571" t="s">
        <v>199</v>
      </c>
      <c r="AK55" s="569" t="s">
        <v>2</v>
      </c>
      <c r="AL55" s="571" t="s">
        <v>198</v>
      </c>
      <c r="AM55" s="571" t="s">
        <v>199</v>
      </c>
      <c r="AN55" s="569" t="s">
        <v>2</v>
      </c>
      <c r="AO55" s="571" t="s">
        <v>198</v>
      </c>
      <c r="AP55" s="571" t="s">
        <v>199</v>
      </c>
      <c r="AR55" s="664" t="str">
        <f>'BP1'!$D$39</f>
        <v>Undergraduate Student</v>
      </c>
      <c r="AS55" s="664"/>
      <c r="AT55" s="664"/>
      <c r="AU55" s="573" t="s">
        <v>288</v>
      </c>
      <c r="AV55" s="573" t="s">
        <v>288</v>
      </c>
      <c r="AW55" s="573" t="s">
        <v>288</v>
      </c>
      <c r="AX55" s="573" t="s">
        <v>288</v>
      </c>
      <c r="AY55" s="573" t="s">
        <v>288</v>
      </c>
      <c r="AZ55" s="573" t="s">
        <v>288</v>
      </c>
    </row>
    <row r="56" spans="1:52" ht="15.75" customHeight="1">
      <c r="A56" s="76" t="str">
        <f>CONCATENATE('BP1'!$D$39," Fringe")</f>
        <v>Undergraduate Student Fringe</v>
      </c>
      <c r="B56" s="1021"/>
      <c r="C56" s="1022"/>
      <c r="D56" s="395"/>
      <c r="E56" s="1021"/>
      <c r="F56" s="1022"/>
      <c r="G56" s="395"/>
      <c r="H56" s="1021"/>
      <c r="I56" s="1022"/>
      <c r="J56" s="395"/>
      <c r="K56" s="1021"/>
      <c r="L56" s="1022"/>
      <c r="M56" s="395"/>
      <c r="N56" s="1021"/>
      <c r="O56" s="1022"/>
      <c r="P56" s="395"/>
      <c r="Q56" s="1021"/>
      <c r="R56" s="1022"/>
      <c r="S56" s="67"/>
      <c r="T56" s="117" t="s">
        <v>219</v>
      </c>
      <c r="V56" s="591"/>
      <c r="W56" s="591"/>
      <c r="X56" s="591"/>
      <c r="Y56" s="570">
        <f>'BP1'!H39</f>
        <v>0</v>
      </c>
      <c r="Z56" s="572">
        <f>'BP1'!I39</f>
        <v>0</v>
      </c>
      <c r="AA56" s="572">
        <f>'BP1'!J39</f>
        <v>0</v>
      </c>
      <c r="AB56" s="570">
        <f>'BP2'!H39</f>
        <v>0</v>
      </c>
      <c r="AC56" s="572">
        <f>'BP2'!I39</f>
        <v>0</v>
      </c>
      <c r="AD56" s="572">
        <f>'BP2'!J39</f>
        <v>0</v>
      </c>
      <c r="AE56" s="570">
        <f>'BP3'!H39</f>
        <v>0</v>
      </c>
      <c r="AF56" s="572">
        <f>'BP3'!I39</f>
        <v>0</v>
      </c>
      <c r="AG56" s="572">
        <f>'BP3'!J39</f>
        <v>0</v>
      </c>
      <c r="AH56" s="570">
        <f>'BP4'!H39</f>
        <v>0</v>
      </c>
      <c r="AI56" s="572">
        <f>'BP4'!I39</f>
        <v>0</v>
      </c>
      <c r="AJ56" s="572">
        <f>'BP4'!J39</f>
        <v>0</v>
      </c>
      <c r="AK56" s="570">
        <f>'BP5'!H39</f>
        <v>0</v>
      </c>
      <c r="AL56" s="572">
        <f>'BP5'!I39</f>
        <v>0</v>
      </c>
      <c r="AM56" s="572">
        <f>'BP5'!J39</f>
        <v>0</v>
      </c>
      <c r="AN56" s="570">
        <f>Y56+AB56+AE56+AH56+AK56</f>
        <v>0</v>
      </c>
      <c r="AO56" s="572">
        <f>Z56+AC56+AF56+AI56+AL56</f>
        <v>0</v>
      </c>
      <c r="AP56" s="572">
        <f>AA56+AD56+AG56+AJ56+AM56</f>
        <v>0</v>
      </c>
      <c r="AR56" s="664"/>
      <c r="AS56" s="664"/>
      <c r="AT56" s="664"/>
      <c r="AU56" s="574">
        <f>'BP1'!M39</f>
        <v>0</v>
      </c>
      <c r="AV56" s="574">
        <f>'BP2'!M39</f>
        <v>0</v>
      </c>
      <c r="AW56" s="574">
        <f>'BP3'!M39</f>
        <v>0</v>
      </c>
      <c r="AX56" s="574">
        <f>'BP4'!M39</f>
        <v>0</v>
      </c>
      <c r="AY56" s="574">
        <f>'BP5'!M39</f>
        <v>0</v>
      </c>
      <c r="AZ56" s="574">
        <f>AU56+AV56+AW56+AX56+AY56</f>
        <v>0</v>
      </c>
    </row>
    <row r="57" spans="1:52" ht="15.75" customHeight="1">
      <c r="A57" s="76" t="str">
        <f>CONCATENATE('BP1'!$D$40," Salary")</f>
        <v>Other (Carrying Statutory Benefits) Salary</v>
      </c>
      <c r="B57" s="396">
        <f>'BP1'!$K$40</f>
        <v>0</v>
      </c>
      <c r="C57" s="397">
        <f>'BP1'!$N$40</f>
        <v>0</v>
      </c>
      <c r="D57" s="395"/>
      <c r="E57" s="396">
        <f ca="1">'BP2'!$K$40</f>
        <v>0</v>
      </c>
      <c r="F57" s="397">
        <f ca="1">'BP2'!$N$40</f>
        <v>0</v>
      </c>
      <c r="G57" s="395"/>
      <c r="H57" s="396">
        <f ca="1">'BP3'!$K$40</f>
        <v>0</v>
      </c>
      <c r="I57" s="397">
        <f ca="1">'BP3'!$N$40</f>
        <v>0</v>
      </c>
      <c r="J57" s="395"/>
      <c r="K57" s="396">
        <f ca="1">'BP4'!$K$40</f>
        <v>0</v>
      </c>
      <c r="L57" s="397">
        <f ca="1">'BP4'!$N$40</f>
        <v>0</v>
      </c>
      <c r="M57" s="395"/>
      <c r="N57" s="396">
        <f ca="1">'BP5'!$K$40</f>
        <v>0</v>
      </c>
      <c r="O57" s="397">
        <f ca="1">'BP5'!$N$40</f>
        <v>0</v>
      </c>
      <c r="P57" s="395"/>
      <c r="Q57" s="396">
        <f t="shared" ca="1" si="0"/>
        <v>0</v>
      </c>
      <c r="R57" s="397">
        <f t="shared" ca="1" si="1"/>
        <v>0</v>
      </c>
      <c r="S57" s="67"/>
      <c r="T57" s="117" t="s">
        <v>219</v>
      </c>
      <c r="V57" s="591" t="str">
        <f>'BP1'!$D$40</f>
        <v>Other (Carrying Statutory Benefits)</v>
      </c>
      <c r="W57" s="591"/>
      <c r="X57" s="591"/>
      <c r="Y57" s="569" t="s">
        <v>2</v>
      </c>
      <c r="Z57" s="571" t="s">
        <v>198</v>
      </c>
      <c r="AA57" s="571" t="s">
        <v>199</v>
      </c>
      <c r="AB57" s="569" t="s">
        <v>2</v>
      </c>
      <c r="AC57" s="571" t="s">
        <v>198</v>
      </c>
      <c r="AD57" s="571" t="s">
        <v>199</v>
      </c>
      <c r="AE57" s="569" t="s">
        <v>2</v>
      </c>
      <c r="AF57" s="571" t="s">
        <v>198</v>
      </c>
      <c r="AG57" s="571" t="s">
        <v>199</v>
      </c>
      <c r="AH57" s="569" t="s">
        <v>2</v>
      </c>
      <c r="AI57" s="571" t="s">
        <v>198</v>
      </c>
      <c r="AJ57" s="571" t="s">
        <v>199</v>
      </c>
      <c r="AK57" s="569" t="s">
        <v>2</v>
      </c>
      <c r="AL57" s="571" t="s">
        <v>198</v>
      </c>
      <c r="AM57" s="571" t="s">
        <v>199</v>
      </c>
      <c r="AN57" s="569" t="s">
        <v>2</v>
      </c>
      <c r="AO57" s="571" t="s">
        <v>198</v>
      </c>
      <c r="AP57" s="571" t="s">
        <v>199</v>
      </c>
      <c r="AR57" s="658" t="str">
        <f>'BP1'!$D$40</f>
        <v>Other (Carrying Statutory Benefits)</v>
      </c>
      <c r="AS57" s="659"/>
      <c r="AT57" s="660"/>
      <c r="AU57" s="573" t="s">
        <v>288</v>
      </c>
      <c r="AV57" s="573" t="s">
        <v>288</v>
      </c>
      <c r="AW57" s="573" t="s">
        <v>288</v>
      </c>
      <c r="AX57" s="573" t="s">
        <v>288</v>
      </c>
      <c r="AY57" s="573" t="s">
        <v>288</v>
      </c>
      <c r="AZ57" s="573" t="s">
        <v>288</v>
      </c>
    </row>
    <row r="58" spans="1:52">
      <c r="A58" s="76" t="str">
        <f>CONCATENATE('BP1'!$D$40," Fringe")</f>
        <v>Other (Carrying Statutory Benefits) Fringe</v>
      </c>
      <c r="B58" s="404">
        <f>'BP1'!$L$40</f>
        <v>0</v>
      </c>
      <c r="C58" s="397">
        <f>'BP1'!$O$40</f>
        <v>0</v>
      </c>
      <c r="D58" s="395"/>
      <c r="E58" s="404">
        <f>'BP2'!$L$40</f>
        <v>0</v>
      </c>
      <c r="F58" s="397">
        <f ca="1">'BP2'!$O$40</f>
        <v>0</v>
      </c>
      <c r="G58" s="395"/>
      <c r="H58" s="404">
        <f>'BP3'!$L$40</f>
        <v>0</v>
      </c>
      <c r="I58" s="397">
        <f ca="1">'BP3'!$O$40</f>
        <v>0</v>
      </c>
      <c r="J58" s="395"/>
      <c r="K58" s="404">
        <f>'BP4'!$L$40</f>
        <v>0</v>
      </c>
      <c r="L58" s="397">
        <f ca="1">'BP4'!$O$40</f>
        <v>0</v>
      </c>
      <c r="M58" s="395"/>
      <c r="N58" s="404">
        <f>'BP5'!$L$40</f>
        <v>0</v>
      </c>
      <c r="O58" s="397">
        <f ca="1">'BP5'!$O$40</f>
        <v>0</v>
      </c>
      <c r="P58" s="395"/>
      <c r="Q58" s="404">
        <f t="shared" si="0"/>
        <v>0</v>
      </c>
      <c r="R58" s="397">
        <f ca="1">C58+F58+I58+L58+O58</f>
        <v>0</v>
      </c>
      <c r="S58" s="67"/>
      <c r="T58" s="117" t="s">
        <v>219</v>
      </c>
      <c r="V58" s="591"/>
      <c r="W58" s="591"/>
      <c r="X58" s="591"/>
      <c r="Y58" s="570">
        <f>'BP1'!H40</f>
        <v>0</v>
      </c>
      <c r="Z58" s="572">
        <f>'BP1'!I40</f>
        <v>0</v>
      </c>
      <c r="AA58" s="572">
        <f>'BP1'!J40</f>
        <v>0</v>
      </c>
      <c r="AB58" s="570">
        <f>'BP2'!H40</f>
        <v>0</v>
      </c>
      <c r="AC58" s="572">
        <f>'BP2'!I40</f>
        <v>0</v>
      </c>
      <c r="AD58" s="572">
        <f>'BP2'!J40</f>
        <v>0</v>
      </c>
      <c r="AE58" s="570">
        <f>'BP3'!H40</f>
        <v>0</v>
      </c>
      <c r="AF58" s="572">
        <f>'BP3'!I40</f>
        <v>0</v>
      </c>
      <c r="AG58" s="572">
        <f>'BP3'!J40</f>
        <v>0</v>
      </c>
      <c r="AH58" s="570">
        <f>'BP4'!H40</f>
        <v>0</v>
      </c>
      <c r="AI58" s="572">
        <f>'BP4'!I40</f>
        <v>0</v>
      </c>
      <c r="AJ58" s="572">
        <f>'BP4'!J40</f>
        <v>0</v>
      </c>
      <c r="AK58" s="570">
        <f>'BP5'!H40</f>
        <v>0</v>
      </c>
      <c r="AL58" s="572">
        <f>'BP5'!I40</f>
        <v>0</v>
      </c>
      <c r="AM58" s="572">
        <f>'BP5'!J40</f>
        <v>0</v>
      </c>
      <c r="AN58" s="570">
        <f>Y58+AB58+AE58+AH58+AK58</f>
        <v>0</v>
      </c>
      <c r="AO58" s="572">
        <f>Z58+AC58+AF58+AI58+AL58</f>
        <v>0</v>
      </c>
      <c r="AP58" s="572">
        <f>AA58+AD58+AG58+AJ58+AM58</f>
        <v>0</v>
      </c>
      <c r="AR58" s="661"/>
      <c r="AS58" s="662"/>
      <c r="AT58" s="663"/>
      <c r="AU58" s="574">
        <f>'BP1'!M40</f>
        <v>0</v>
      </c>
      <c r="AV58" s="574">
        <f>'BP2'!M40</f>
        <v>0</v>
      </c>
      <c r="AW58" s="574">
        <f>'BP3'!M40</f>
        <v>0</v>
      </c>
      <c r="AX58" s="574">
        <f>'BP4'!M40</f>
        <v>0</v>
      </c>
      <c r="AY58" s="574">
        <f>'BP5'!M40</f>
        <v>0</v>
      </c>
      <c r="AZ58" s="574">
        <f>AU58+AV58+AW58+AX58+AY58</f>
        <v>0</v>
      </c>
    </row>
    <row r="59" spans="1:52">
      <c r="A59" s="250" t="s">
        <v>90</v>
      </c>
      <c r="B59" s="405">
        <f>'BP1'!$K41</f>
        <v>0</v>
      </c>
      <c r="C59" s="406">
        <f>'BP1'!$N41</f>
        <v>0</v>
      </c>
      <c r="D59" s="407"/>
      <c r="E59" s="405">
        <f>'BP2'!$K41</f>
        <v>0</v>
      </c>
      <c r="F59" s="406">
        <f ca="1">'BP2'!$N41</f>
        <v>0</v>
      </c>
      <c r="G59" s="407"/>
      <c r="H59" s="405">
        <f>'BP3'!$K41</f>
        <v>0</v>
      </c>
      <c r="I59" s="406">
        <f ca="1">'BP3'!$N41</f>
        <v>0</v>
      </c>
      <c r="J59" s="407"/>
      <c r="K59" s="405">
        <f>'BP4'!$K41</f>
        <v>0</v>
      </c>
      <c r="L59" s="406">
        <f ca="1">'BP4'!$N41</f>
        <v>0</v>
      </c>
      <c r="M59" s="407"/>
      <c r="N59" s="405">
        <f>'BP5'!$K41</f>
        <v>0</v>
      </c>
      <c r="O59" s="406">
        <f ca="1">'BP5'!$N41</f>
        <v>0</v>
      </c>
      <c r="P59" s="407"/>
      <c r="Q59" s="405">
        <f t="shared" si="0"/>
        <v>0</v>
      </c>
      <c r="R59" s="406">
        <f t="shared" ca="1" si="1"/>
        <v>0</v>
      </c>
      <c r="S59" s="247"/>
      <c r="T59" s="117" t="s">
        <v>219</v>
      </c>
    </row>
    <row r="60" spans="1:52">
      <c r="A60" s="251" t="s">
        <v>91</v>
      </c>
      <c r="B60" s="408">
        <f>'BP1'!$K42</f>
        <v>0</v>
      </c>
      <c r="C60" s="399">
        <f>'BP1'!$N42</f>
        <v>0</v>
      </c>
      <c r="D60" s="395"/>
      <c r="E60" s="408">
        <f>'BP2'!$K42</f>
        <v>0</v>
      </c>
      <c r="F60" s="399">
        <f ca="1">'BP2'!$N42</f>
        <v>0</v>
      </c>
      <c r="G60" s="395"/>
      <c r="H60" s="408">
        <f>'BP3'!$K42</f>
        <v>0</v>
      </c>
      <c r="I60" s="399">
        <f ca="1">'BP3'!$N42</f>
        <v>0</v>
      </c>
      <c r="J60" s="395"/>
      <c r="K60" s="408">
        <f>'BP4'!$K42</f>
        <v>0</v>
      </c>
      <c r="L60" s="399">
        <f ca="1">'BP4'!$N42</f>
        <v>0</v>
      </c>
      <c r="M60" s="395"/>
      <c r="N60" s="408">
        <f>'BP5'!$K42</f>
        <v>0</v>
      </c>
      <c r="O60" s="399">
        <f ca="1">'BP5'!$N42</f>
        <v>0</v>
      </c>
      <c r="P60" s="395"/>
      <c r="Q60" s="408">
        <f t="shared" si="0"/>
        <v>0</v>
      </c>
      <c r="R60" s="399">
        <f t="shared" ca="1" si="1"/>
        <v>0</v>
      </c>
      <c r="S60" s="66"/>
      <c r="T60" s="117" t="s">
        <v>219</v>
      </c>
    </row>
    <row r="61" spans="1:52" ht="16.5" thickBot="1">
      <c r="A61" s="250" t="s">
        <v>100</v>
      </c>
      <c r="B61" s="409">
        <f>'BP1'!$K43</f>
        <v>0</v>
      </c>
      <c r="C61" s="410">
        <f>'BP1'!$N43</f>
        <v>0</v>
      </c>
      <c r="D61" s="407"/>
      <c r="E61" s="409">
        <f>'BP2'!$K43</f>
        <v>0</v>
      </c>
      <c r="F61" s="410">
        <f ca="1">'BP2'!$N43</f>
        <v>0</v>
      </c>
      <c r="G61" s="407"/>
      <c r="H61" s="409">
        <f>'BP3'!$K43</f>
        <v>0</v>
      </c>
      <c r="I61" s="410">
        <f ca="1">'BP3'!$N43</f>
        <v>0</v>
      </c>
      <c r="J61" s="407"/>
      <c r="K61" s="409">
        <f>'BP4'!$K43</f>
        <v>0</v>
      </c>
      <c r="L61" s="410">
        <f ca="1">'BP4'!$N43</f>
        <v>0</v>
      </c>
      <c r="M61" s="407"/>
      <c r="N61" s="409">
        <f>'BP5'!$K43</f>
        <v>0</v>
      </c>
      <c r="O61" s="410">
        <f ca="1">'BP5'!$N43</f>
        <v>0</v>
      </c>
      <c r="P61" s="407"/>
      <c r="Q61" s="409">
        <f t="shared" si="0"/>
        <v>0</v>
      </c>
      <c r="R61" s="410">
        <f t="shared" ca="1" si="1"/>
        <v>0</v>
      </c>
      <c r="S61" s="247"/>
      <c r="T61" s="117" t="s">
        <v>219</v>
      </c>
    </row>
    <row r="62" spans="1:52" ht="16.5" thickBot="1">
      <c r="A62" s="62"/>
      <c r="B62" s="395"/>
      <c r="C62" s="395"/>
      <c r="D62" s="395"/>
      <c r="E62" s="395"/>
      <c r="F62" s="395"/>
      <c r="G62" s="395"/>
      <c r="H62" s="395"/>
      <c r="I62" s="395"/>
      <c r="J62" s="395"/>
      <c r="K62" s="395"/>
      <c r="L62" s="395"/>
      <c r="M62" s="395"/>
      <c r="N62" s="395"/>
      <c r="O62" s="395"/>
      <c r="P62" s="395"/>
      <c r="Q62" s="395"/>
      <c r="R62" s="395"/>
      <c r="S62" s="66"/>
      <c r="T62" s="117" t="s">
        <v>219</v>
      </c>
    </row>
    <row r="63" spans="1:52">
      <c r="A63" s="76" t="str">
        <f>'BP1'!$A$44</f>
        <v>Capital Equipment</v>
      </c>
      <c r="B63" s="402">
        <f>'BP1'!$K50</f>
        <v>0</v>
      </c>
      <c r="C63" s="403">
        <f>'BP1'!$N50</f>
        <v>0</v>
      </c>
      <c r="D63" s="395"/>
      <c r="E63" s="402">
        <f>'BP2'!$K50</f>
        <v>0</v>
      </c>
      <c r="F63" s="403">
        <f>'BP2'!$N50</f>
        <v>0</v>
      </c>
      <c r="G63" s="395"/>
      <c r="H63" s="402">
        <f>'BP3'!$K50</f>
        <v>0</v>
      </c>
      <c r="I63" s="403">
        <f>'BP3'!$N50</f>
        <v>0</v>
      </c>
      <c r="J63" s="395"/>
      <c r="K63" s="402">
        <f>'BP4'!$K50</f>
        <v>0</v>
      </c>
      <c r="L63" s="403">
        <f>'BP4'!$N50</f>
        <v>0</v>
      </c>
      <c r="M63" s="395"/>
      <c r="N63" s="402">
        <f>'BP5'!$K50</f>
        <v>0</v>
      </c>
      <c r="O63" s="403">
        <f>'BP5'!$N50</f>
        <v>0</v>
      </c>
      <c r="P63" s="395"/>
      <c r="Q63" s="402">
        <f t="shared" si="0"/>
        <v>0</v>
      </c>
      <c r="R63" s="403">
        <f t="shared" si="1"/>
        <v>0</v>
      </c>
      <c r="S63" s="67"/>
      <c r="T63" s="117" t="s">
        <v>219</v>
      </c>
    </row>
    <row r="64" spans="1:52">
      <c r="A64" s="76" t="str">
        <f>'BP1'!$H$51</f>
        <v>Domestic Travel</v>
      </c>
      <c r="B64" s="396">
        <f>'BP1'!$K51</f>
        <v>0</v>
      </c>
      <c r="C64" s="397">
        <f>'BP1'!$N51</f>
        <v>0</v>
      </c>
      <c r="D64" s="395"/>
      <c r="E64" s="396">
        <f>'BP2'!$K51</f>
        <v>0</v>
      </c>
      <c r="F64" s="397">
        <f>'BP2'!$N51</f>
        <v>0</v>
      </c>
      <c r="G64" s="395"/>
      <c r="H64" s="396">
        <f>'BP3'!$K51</f>
        <v>0</v>
      </c>
      <c r="I64" s="397">
        <f>'BP3'!$N51</f>
        <v>0</v>
      </c>
      <c r="J64" s="395"/>
      <c r="K64" s="396">
        <f>'BP4'!$K51</f>
        <v>0</v>
      </c>
      <c r="L64" s="397">
        <f>'BP4'!$N51</f>
        <v>0</v>
      </c>
      <c r="M64" s="395"/>
      <c r="N64" s="396">
        <f>'BP5'!$K51</f>
        <v>0</v>
      </c>
      <c r="O64" s="397">
        <f>'BP5'!$N51</f>
        <v>0</v>
      </c>
      <c r="P64" s="395"/>
      <c r="Q64" s="396">
        <f t="shared" si="0"/>
        <v>0</v>
      </c>
      <c r="R64" s="397">
        <f t="shared" si="1"/>
        <v>0</v>
      </c>
      <c r="S64" s="67"/>
      <c r="T64" s="117" t="s">
        <v>219</v>
      </c>
    </row>
    <row r="65" spans="1:20" ht="16.5" thickBot="1">
      <c r="A65" s="76" t="str">
        <f>'BP1'!$H$52</f>
        <v>Foreign Travel</v>
      </c>
      <c r="B65" s="411">
        <f>'BP1'!$K52</f>
        <v>0</v>
      </c>
      <c r="C65" s="412">
        <f>'BP1'!$N52</f>
        <v>0</v>
      </c>
      <c r="D65" s="395"/>
      <c r="E65" s="411">
        <f>'BP2'!$K52</f>
        <v>0</v>
      </c>
      <c r="F65" s="412">
        <f>'BP2'!$N52</f>
        <v>0</v>
      </c>
      <c r="G65" s="395"/>
      <c r="H65" s="411">
        <f>'BP3'!$K52</f>
        <v>0</v>
      </c>
      <c r="I65" s="412">
        <f>'BP3'!$N52</f>
        <v>0</v>
      </c>
      <c r="J65" s="395"/>
      <c r="K65" s="411">
        <f>'BP4'!$K52</f>
        <v>0</v>
      </c>
      <c r="L65" s="412">
        <f>'BP4'!$N52</f>
        <v>0</v>
      </c>
      <c r="M65" s="395"/>
      <c r="N65" s="411">
        <f>'BP5'!$K52</f>
        <v>0</v>
      </c>
      <c r="O65" s="412">
        <f>'BP5'!$N52</f>
        <v>0</v>
      </c>
      <c r="P65" s="395"/>
      <c r="Q65" s="411">
        <f t="shared" si="0"/>
        <v>0</v>
      </c>
      <c r="R65" s="412">
        <f t="shared" si="1"/>
        <v>0</v>
      </c>
      <c r="S65" s="67"/>
      <c r="T65" s="117" t="s">
        <v>219</v>
      </c>
    </row>
    <row r="66" spans="1:20" ht="16.5" thickBot="1">
      <c r="B66" s="413"/>
      <c r="C66" s="413"/>
      <c r="D66" s="413"/>
      <c r="E66" s="413"/>
      <c r="F66" s="413"/>
      <c r="G66" s="413"/>
      <c r="H66" s="413"/>
      <c r="I66" s="413"/>
      <c r="J66" s="413"/>
      <c r="K66" s="413"/>
      <c r="L66" s="413"/>
      <c r="M66" s="413"/>
      <c r="N66" s="413"/>
      <c r="O66" s="413"/>
      <c r="P66" s="413"/>
      <c r="Q66" s="413"/>
      <c r="R66" s="413"/>
      <c r="T66" s="117" t="s">
        <v>219</v>
      </c>
    </row>
    <row r="67" spans="1:20">
      <c r="A67" s="76" t="str">
        <f>'BP1'!$C$55</f>
        <v>Materials and Supplies</v>
      </c>
      <c r="B67" s="402">
        <f>'BP1'!$K55</f>
        <v>0</v>
      </c>
      <c r="C67" s="403">
        <f>'BP1'!$N55</f>
        <v>0</v>
      </c>
      <c r="D67" s="395"/>
      <c r="E67" s="402">
        <f>'BP2'!$K55</f>
        <v>0</v>
      </c>
      <c r="F67" s="403">
        <f>'BP2'!$N55</f>
        <v>0</v>
      </c>
      <c r="G67" s="395"/>
      <c r="H67" s="402">
        <f>'BP3'!$K55</f>
        <v>0</v>
      </c>
      <c r="I67" s="403">
        <f>'BP3'!$N55</f>
        <v>0</v>
      </c>
      <c r="J67" s="395"/>
      <c r="K67" s="402">
        <f>'BP4'!$K55</f>
        <v>0</v>
      </c>
      <c r="L67" s="403">
        <f>'BP4'!$N55</f>
        <v>0</v>
      </c>
      <c r="M67" s="395"/>
      <c r="N67" s="402">
        <f>'BP5'!$K55</f>
        <v>0</v>
      </c>
      <c r="O67" s="403">
        <f>'BP5'!$N55</f>
        <v>0</v>
      </c>
      <c r="P67" s="395"/>
      <c r="Q67" s="402">
        <f t="shared" si="0"/>
        <v>0</v>
      </c>
      <c r="R67" s="403">
        <f t="shared" si="1"/>
        <v>0</v>
      </c>
      <c r="S67" s="67"/>
      <c r="T67" s="117" t="s">
        <v>219</v>
      </c>
    </row>
    <row r="68" spans="1:20">
      <c r="A68" s="76" t="str">
        <f>'BP1'!$C$56</f>
        <v>Publication Costs</v>
      </c>
      <c r="B68" s="396">
        <f>'BP1'!$K56</f>
        <v>0</v>
      </c>
      <c r="C68" s="397">
        <f>'BP1'!$N56</f>
        <v>0</v>
      </c>
      <c r="D68" s="395"/>
      <c r="E68" s="396">
        <f>'BP2'!$K56</f>
        <v>0</v>
      </c>
      <c r="F68" s="397">
        <f>'BP2'!$N56</f>
        <v>0</v>
      </c>
      <c r="G68" s="395"/>
      <c r="H68" s="396">
        <f>'BP3'!$K56</f>
        <v>0</v>
      </c>
      <c r="I68" s="397">
        <f>'BP3'!$N56</f>
        <v>0</v>
      </c>
      <c r="J68" s="395"/>
      <c r="K68" s="396">
        <f>'BP4'!$K56</f>
        <v>0</v>
      </c>
      <c r="L68" s="397">
        <f>'BP4'!$N56</f>
        <v>0</v>
      </c>
      <c r="M68" s="395"/>
      <c r="N68" s="396">
        <f>'BP5'!$K56</f>
        <v>0</v>
      </c>
      <c r="O68" s="397">
        <f>'BP5'!$N56</f>
        <v>0</v>
      </c>
      <c r="P68" s="395"/>
      <c r="Q68" s="396">
        <f t="shared" si="0"/>
        <v>0</v>
      </c>
      <c r="R68" s="397">
        <f t="shared" si="1"/>
        <v>0</v>
      </c>
      <c r="S68" s="67"/>
      <c r="T68" s="117" t="s">
        <v>219</v>
      </c>
    </row>
    <row r="69" spans="1:20">
      <c r="A69" s="76" t="str">
        <f>'BP1'!$C$57</f>
        <v>Consultant Services</v>
      </c>
      <c r="B69" s="396">
        <f>'BP1'!$K57</f>
        <v>0</v>
      </c>
      <c r="C69" s="397">
        <f>'BP1'!$N57</f>
        <v>0</v>
      </c>
      <c r="D69" s="395"/>
      <c r="E69" s="396">
        <f>'BP2'!$K57</f>
        <v>0</v>
      </c>
      <c r="F69" s="397">
        <f>'BP2'!$N57</f>
        <v>0</v>
      </c>
      <c r="G69" s="395"/>
      <c r="H69" s="396">
        <f>'BP3'!$K57</f>
        <v>0</v>
      </c>
      <c r="I69" s="397">
        <f>'BP3'!$N57</f>
        <v>0</v>
      </c>
      <c r="J69" s="395"/>
      <c r="K69" s="396">
        <f>'BP4'!$K57</f>
        <v>0</v>
      </c>
      <c r="L69" s="397">
        <f>'BP4'!$N57</f>
        <v>0</v>
      </c>
      <c r="M69" s="395"/>
      <c r="N69" s="396">
        <f>'BP5'!$K57</f>
        <v>0</v>
      </c>
      <c r="O69" s="397">
        <f>'BP5'!$N57</f>
        <v>0</v>
      </c>
      <c r="P69" s="395"/>
      <c r="Q69" s="396">
        <f t="shared" si="0"/>
        <v>0</v>
      </c>
      <c r="R69" s="397">
        <f t="shared" si="1"/>
        <v>0</v>
      </c>
      <c r="S69" s="67"/>
      <c r="T69" s="117" t="s">
        <v>219</v>
      </c>
    </row>
    <row r="70" spans="1:20">
      <c r="A70" s="76" t="str">
        <f>'BP1'!$C$58</f>
        <v>Computer Services</v>
      </c>
      <c r="B70" s="396">
        <f>'BP1'!$K58</f>
        <v>0</v>
      </c>
      <c r="C70" s="397">
        <f>'BP1'!$N58</f>
        <v>0</v>
      </c>
      <c r="D70" s="395"/>
      <c r="E70" s="396">
        <f>'BP2'!$K58</f>
        <v>0</v>
      </c>
      <c r="F70" s="397">
        <f>'BP2'!$N58</f>
        <v>0</v>
      </c>
      <c r="G70" s="395"/>
      <c r="H70" s="396">
        <f>'BP3'!$K58</f>
        <v>0</v>
      </c>
      <c r="I70" s="397">
        <f>'BP3'!$N58</f>
        <v>0</v>
      </c>
      <c r="J70" s="395"/>
      <c r="K70" s="396">
        <f>'BP4'!$K58</f>
        <v>0</v>
      </c>
      <c r="L70" s="397">
        <f>'BP4'!$N58</f>
        <v>0</v>
      </c>
      <c r="M70" s="395"/>
      <c r="N70" s="396">
        <f>'BP5'!$K58</f>
        <v>0</v>
      </c>
      <c r="O70" s="397">
        <f>'BP5'!$N58</f>
        <v>0</v>
      </c>
      <c r="P70" s="395"/>
      <c r="Q70" s="396">
        <f t="shared" si="0"/>
        <v>0</v>
      </c>
      <c r="R70" s="397">
        <f t="shared" si="1"/>
        <v>0</v>
      </c>
      <c r="S70" s="67"/>
      <c r="T70" s="117" t="s">
        <v>219</v>
      </c>
    </row>
    <row r="71" spans="1:20">
      <c r="A71" s="76" t="str">
        <f>'BP1'!$C$59</f>
        <v>Tuition</v>
      </c>
      <c r="B71" s="396">
        <f>'BP1'!$K59</f>
        <v>0</v>
      </c>
      <c r="C71" s="397">
        <f>'BP1'!$N59</f>
        <v>0</v>
      </c>
      <c r="D71" s="395"/>
      <c r="E71" s="396">
        <f>'BP2'!$K59</f>
        <v>0</v>
      </c>
      <c r="F71" s="397">
        <f>'BP2'!$N59</f>
        <v>0</v>
      </c>
      <c r="G71" s="395"/>
      <c r="H71" s="396">
        <f>'BP3'!$K59</f>
        <v>0</v>
      </c>
      <c r="I71" s="397">
        <f>'BP3'!$N59</f>
        <v>0</v>
      </c>
      <c r="J71" s="395"/>
      <c r="K71" s="396">
        <f>'BP4'!$K59</f>
        <v>0</v>
      </c>
      <c r="L71" s="397">
        <f>'BP4'!$N59</f>
        <v>0</v>
      </c>
      <c r="M71" s="395"/>
      <c r="N71" s="396">
        <f>'BP5'!$K59</f>
        <v>0</v>
      </c>
      <c r="O71" s="397">
        <f>'BP5'!$N59</f>
        <v>0</v>
      </c>
      <c r="P71" s="395"/>
      <c r="Q71" s="396">
        <f t="shared" si="0"/>
        <v>0</v>
      </c>
      <c r="R71" s="397">
        <f t="shared" si="1"/>
        <v>0</v>
      </c>
      <c r="S71" s="67"/>
      <c r="T71" s="117" t="s">
        <v>219</v>
      </c>
    </row>
    <row r="72" spans="1:20">
      <c r="A72" s="76" t="str">
        <f>'BP1'!$C$60</f>
        <v>MTDC Other</v>
      </c>
      <c r="B72" s="396">
        <f>'BP1'!$K60</f>
        <v>0</v>
      </c>
      <c r="C72" s="397">
        <f>'BP1'!$N60</f>
        <v>0</v>
      </c>
      <c r="D72" s="395"/>
      <c r="E72" s="396">
        <f>'BP2'!$K60</f>
        <v>0</v>
      </c>
      <c r="F72" s="397">
        <f>'BP2'!$N60</f>
        <v>0</v>
      </c>
      <c r="G72" s="395"/>
      <c r="H72" s="396">
        <f>'BP3'!$K60</f>
        <v>0</v>
      </c>
      <c r="I72" s="397">
        <f>'BP3'!$N60</f>
        <v>0</v>
      </c>
      <c r="J72" s="395"/>
      <c r="K72" s="396">
        <f>'BP4'!$K60</f>
        <v>0</v>
      </c>
      <c r="L72" s="397">
        <f>'BP4'!$N60</f>
        <v>0</v>
      </c>
      <c r="M72" s="395"/>
      <c r="N72" s="396">
        <f>'BP5'!$K60</f>
        <v>0</v>
      </c>
      <c r="O72" s="397">
        <f>'BP5'!$N60</f>
        <v>0</v>
      </c>
      <c r="P72" s="395"/>
      <c r="Q72" s="396">
        <f t="shared" si="0"/>
        <v>0</v>
      </c>
      <c r="R72" s="397">
        <f t="shared" si="1"/>
        <v>0</v>
      </c>
      <c r="S72" s="67"/>
      <c r="T72" s="117" t="s">
        <v>219</v>
      </c>
    </row>
    <row r="73" spans="1:20">
      <c r="A73" s="76" t="str">
        <f>'BP1'!$C$61</f>
        <v>Non-MTDC Other (no indirect costs)</v>
      </c>
      <c r="B73" s="396">
        <f>'BP1'!$K61</f>
        <v>0</v>
      </c>
      <c r="C73" s="397">
        <f>'BP1'!$N61</f>
        <v>0</v>
      </c>
      <c r="D73" s="395"/>
      <c r="E73" s="396">
        <f>'BP2'!$K61</f>
        <v>0</v>
      </c>
      <c r="F73" s="397">
        <f>'BP2'!$N61</f>
        <v>0</v>
      </c>
      <c r="G73" s="395"/>
      <c r="H73" s="396">
        <f>'BP3'!$K61</f>
        <v>0</v>
      </c>
      <c r="I73" s="397">
        <f>'BP3'!$N61</f>
        <v>0</v>
      </c>
      <c r="J73" s="395"/>
      <c r="K73" s="396">
        <f>'BP4'!$K61</f>
        <v>0</v>
      </c>
      <c r="L73" s="397">
        <f>'BP4'!$N61</f>
        <v>0</v>
      </c>
      <c r="M73" s="395"/>
      <c r="N73" s="396">
        <f>'BP5'!$K61</f>
        <v>0</v>
      </c>
      <c r="O73" s="397">
        <f>'BP5'!$N61</f>
        <v>0</v>
      </c>
      <c r="P73" s="395"/>
      <c r="Q73" s="396">
        <f t="shared" si="0"/>
        <v>0</v>
      </c>
      <c r="R73" s="397">
        <f t="shared" si="1"/>
        <v>0</v>
      </c>
      <c r="S73" s="67"/>
      <c r="T73" s="117" t="s">
        <v>219</v>
      </c>
    </row>
    <row r="74" spans="1:20" ht="15.75" customHeight="1">
      <c r="A74" s="490" t="str">
        <f>IF(Q74&gt;0,"Subaward - "&amp;'Subaward Calculator'!B8,'BP1'!C62)</f>
        <v>Subaward I</v>
      </c>
      <c r="B74" s="396">
        <f>'BP1'!$K62</f>
        <v>0</v>
      </c>
      <c r="C74" s="397">
        <f>'BP1'!$N62</f>
        <v>0</v>
      </c>
      <c r="D74" s="395"/>
      <c r="E74" s="396">
        <f>IF('BP2'!$K62="",0,'BP2'!$K62)</f>
        <v>0</v>
      </c>
      <c r="F74" s="397">
        <f>IF('BP2'!$N62="",0,'BP2'!$N62)</f>
        <v>0</v>
      </c>
      <c r="G74" s="395"/>
      <c r="H74" s="396">
        <f>IF('BP3'!$K62="",0,'BP3'!$K62)</f>
        <v>0</v>
      </c>
      <c r="I74" s="397">
        <f>IF('BP3'!$N62="",0,'BP3'!$N62)</f>
        <v>0</v>
      </c>
      <c r="J74" s="395"/>
      <c r="K74" s="396">
        <f>IF('BP4'!$K62="",0,'BP4'!$K62)</f>
        <v>0</v>
      </c>
      <c r="L74" s="397">
        <f>IF('BP4'!$N62="",0,'BP4'!$N62)</f>
        <v>0</v>
      </c>
      <c r="M74" s="395"/>
      <c r="N74" s="396">
        <f>IF('BP5'!$K62="",0,'BP5'!$K62)</f>
        <v>0</v>
      </c>
      <c r="O74" s="397">
        <f>IF('BP5'!$N62="",0,'BP5'!$N62)</f>
        <v>0</v>
      </c>
      <c r="P74" s="395"/>
      <c r="Q74" s="396">
        <f>B74+E74+H74+K74+N74</f>
        <v>0</v>
      </c>
      <c r="R74" s="397">
        <f t="shared" si="1"/>
        <v>0</v>
      </c>
      <c r="S74" s="67"/>
      <c r="T74" s="117" t="s">
        <v>219</v>
      </c>
    </row>
    <row r="75" spans="1:20" ht="15.75" hidden="1" customHeight="1">
      <c r="A75" s="490" t="str">
        <f>IF(Q75&gt;0,"Subaward - "&amp;'Subaward Calculator'!B11,'BP1'!C63)</f>
        <v>Subaward II</v>
      </c>
      <c r="B75" s="396">
        <f>'BP1'!$K63</f>
        <v>0</v>
      </c>
      <c r="C75" s="397">
        <f>'BP1'!$N63</f>
        <v>0</v>
      </c>
      <c r="D75" s="395"/>
      <c r="E75" s="396">
        <f>IF('BP2'!$K63="",0,'BP2'!$K63)</f>
        <v>0</v>
      </c>
      <c r="F75" s="397">
        <f>IF('BP2'!$N63="",0,'BP2'!$N63)</f>
        <v>0</v>
      </c>
      <c r="G75" s="395"/>
      <c r="H75" s="396">
        <f>IF('BP3'!$K63="",0,'BP3'!$K63)</f>
        <v>0</v>
      </c>
      <c r="I75" s="397">
        <f>IF('BP3'!$N63="",0,'BP3'!$N63)</f>
        <v>0</v>
      </c>
      <c r="J75" s="395"/>
      <c r="K75" s="396">
        <f>IF('BP4'!$K63="",0,'BP4'!$K63)</f>
        <v>0</v>
      </c>
      <c r="L75" s="397">
        <f>IF('BP4'!$N63="",0,'BP4'!$N63)</f>
        <v>0</v>
      </c>
      <c r="M75" s="395"/>
      <c r="N75" s="396">
        <f>IF('BP5'!$K63="",0,'BP5'!$K63)</f>
        <v>0</v>
      </c>
      <c r="O75" s="397">
        <f>IF('BP5'!$N63="",0,'BP5'!$N63)</f>
        <v>0</v>
      </c>
      <c r="P75" s="395"/>
      <c r="Q75" s="396">
        <f t="shared" si="0"/>
        <v>0</v>
      </c>
      <c r="R75" s="397">
        <f t="shared" si="1"/>
        <v>0</v>
      </c>
      <c r="S75" s="67"/>
      <c r="T75" s="117" t="s">
        <v>221</v>
      </c>
    </row>
    <row r="76" spans="1:20" ht="15.75" hidden="1" customHeight="1">
      <c r="A76" s="490" t="str">
        <f>IF(Q76&gt;0,"Subaward - "&amp;'Subaward Calculator'!B14,'BP1'!C64)</f>
        <v>Subaward III</v>
      </c>
      <c r="B76" s="396">
        <f>'BP1'!$K64</f>
        <v>0</v>
      </c>
      <c r="C76" s="397">
        <f>'BP1'!$N64</f>
        <v>0</v>
      </c>
      <c r="D76" s="395"/>
      <c r="E76" s="396">
        <f>IF('BP2'!$K64="",0,'BP2'!$K64)</f>
        <v>0</v>
      </c>
      <c r="F76" s="397">
        <f>IF('BP2'!$N64="",0,'BP2'!$N64)</f>
        <v>0</v>
      </c>
      <c r="G76" s="395"/>
      <c r="H76" s="396">
        <f>IF('BP3'!$K64="",0,'BP3'!$K64)</f>
        <v>0</v>
      </c>
      <c r="I76" s="397">
        <f>IF('BP3'!$N64="",0,'BP3'!$N64)</f>
        <v>0</v>
      </c>
      <c r="J76" s="395"/>
      <c r="K76" s="396">
        <f>IF('BP4'!$K64="",0,'BP4'!$K64)</f>
        <v>0</v>
      </c>
      <c r="L76" s="397">
        <f>IF('BP4'!$N64="",0,'BP4'!$N64)</f>
        <v>0</v>
      </c>
      <c r="M76" s="395"/>
      <c r="N76" s="396">
        <f>IF('BP5'!$K64="",0,'BP5'!$K64)</f>
        <v>0</v>
      </c>
      <c r="O76" s="397">
        <f>IF('BP5'!$N64="",0,'BP5'!$N64)</f>
        <v>0</v>
      </c>
      <c r="P76" s="395"/>
      <c r="Q76" s="396">
        <f t="shared" si="0"/>
        <v>0</v>
      </c>
      <c r="R76" s="397">
        <f t="shared" si="1"/>
        <v>0</v>
      </c>
      <c r="S76" s="67"/>
      <c r="T76" s="117" t="s">
        <v>221</v>
      </c>
    </row>
    <row r="77" spans="1:20" ht="15.75" hidden="1" customHeight="1">
      <c r="A77" s="490" t="str">
        <f>IF(Q77&gt;0,"Subaward - "&amp;'Subaward Calculator'!B17,'BP1'!C65)</f>
        <v>Subaward IV</v>
      </c>
      <c r="B77" s="396">
        <f>'BP1'!$K65</f>
        <v>0</v>
      </c>
      <c r="C77" s="397">
        <f>'BP1'!$N65</f>
        <v>0</v>
      </c>
      <c r="D77" s="395"/>
      <c r="E77" s="396">
        <f>IF('BP2'!$K65="",0,'BP2'!$K65)</f>
        <v>0</v>
      </c>
      <c r="F77" s="397">
        <f>IF('BP2'!$N65="",0,'BP2'!$N65)</f>
        <v>0</v>
      </c>
      <c r="G77" s="395"/>
      <c r="H77" s="396">
        <f>IF('BP3'!$K65="",0,'BP3'!$K65)</f>
        <v>0</v>
      </c>
      <c r="I77" s="397">
        <f>IF('BP3'!$N65="",0,'BP3'!$N65)</f>
        <v>0</v>
      </c>
      <c r="J77" s="395"/>
      <c r="K77" s="396">
        <f>IF('BP4'!$K65="",0,'BP4'!$K65)</f>
        <v>0</v>
      </c>
      <c r="L77" s="397">
        <f>IF('BP4'!$N65="",0,'BP4'!$N65)</f>
        <v>0</v>
      </c>
      <c r="M77" s="395"/>
      <c r="N77" s="396">
        <f>IF('BP5'!$K65="",0,'BP5'!$K65)</f>
        <v>0</v>
      </c>
      <c r="O77" s="397">
        <f>IF('BP5'!$N65="",0,'BP5'!$N65)</f>
        <v>0</v>
      </c>
      <c r="P77" s="395"/>
      <c r="Q77" s="396">
        <f t="shared" si="0"/>
        <v>0</v>
      </c>
      <c r="R77" s="397">
        <f t="shared" si="1"/>
        <v>0</v>
      </c>
      <c r="S77" s="67"/>
      <c r="T77" s="117" t="s">
        <v>221</v>
      </c>
    </row>
    <row r="78" spans="1:20" ht="15.75" hidden="1" customHeight="1">
      <c r="A78" s="490" t="str">
        <f>IF(Q78&gt;0,"Subaward - "&amp;'Subaward Calculator'!B20,'BP1'!C66)</f>
        <v>Subaward V</v>
      </c>
      <c r="B78" s="396">
        <f>'BP1'!$K66</f>
        <v>0</v>
      </c>
      <c r="C78" s="397">
        <f>'BP1'!$N66</f>
        <v>0</v>
      </c>
      <c r="D78" s="395"/>
      <c r="E78" s="396">
        <f>IF('BP2'!$K66="",0,'BP2'!$K66)</f>
        <v>0</v>
      </c>
      <c r="F78" s="397">
        <f>IF('BP2'!$N66="",0,'BP2'!$N66)</f>
        <v>0</v>
      </c>
      <c r="G78" s="395"/>
      <c r="H78" s="396">
        <f>IF('BP3'!$K66="",0,'BP3'!$K66)</f>
        <v>0</v>
      </c>
      <c r="I78" s="397">
        <f>IF('BP3'!$N66="",0,'BP3'!$N66)</f>
        <v>0</v>
      </c>
      <c r="J78" s="395"/>
      <c r="K78" s="396">
        <f>IF('BP4'!$K66="",0,'BP4'!$K66)</f>
        <v>0</v>
      </c>
      <c r="L78" s="397">
        <f>IF('BP4'!$N66="",0,'BP4'!$N66)</f>
        <v>0</v>
      </c>
      <c r="M78" s="395"/>
      <c r="N78" s="396">
        <f>IF('BP5'!$K66="",0,'BP5'!$K66)</f>
        <v>0</v>
      </c>
      <c r="O78" s="397">
        <f>IF('BP5'!$N66="",0,'BP5'!$N66)</f>
        <v>0</v>
      </c>
      <c r="P78" s="395"/>
      <c r="Q78" s="396">
        <f t="shared" si="0"/>
        <v>0</v>
      </c>
      <c r="R78" s="397">
        <f t="shared" si="1"/>
        <v>0</v>
      </c>
      <c r="S78" s="67"/>
      <c r="T78" s="117" t="s">
        <v>221</v>
      </c>
    </row>
    <row r="79" spans="1:20" ht="15.75" hidden="1" customHeight="1">
      <c r="A79" s="490" t="str">
        <f>IF(Q79&gt;0,"Subaward - "&amp;'Subaward Calculator'!B23,'BP1'!C67)</f>
        <v>Subaward VI</v>
      </c>
      <c r="B79" s="396">
        <f>'BP1'!$K67</f>
        <v>0</v>
      </c>
      <c r="C79" s="397">
        <f>'BP1'!$N67</f>
        <v>0</v>
      </c>
      <c r="D79" s="395"/>
      <c r="E79" s="396">
        <f>IF('BP2'!$K67="",0,'BP2'!$K67)</f>
        <v>0</v>
      </c>
      <c r="F79" s="397">
        <f>IF('BP2'!$N67="",0,'BP2'!$N67)</f>
        <v>0</v>
      </c>
      <c r="G79" s="395"/>
      <c r="H79" s="396">
        <f>IF('BP3'!$K67="",0,'BP3'!$K67)</f>
        <v>0</v>
      </c>
      <c r="I79" s="397">
        <f>IF('BP3'!$N67="",0,'BP3'!$N67)</f>
        <v>0</v>
      </c>
      <c r="J79" s="395"/>
      <c r="K79" s="396">
        <f>IF('BP4'!$K67="",0,'BP4'!$K67)</f>
        <v>0</v>
      </c>
      <c r="L79" s="397">
        <f>IF('BP4'!$N67="",0,'BP4'!$N67)</f>
        <v>0</v>
      </c>
      <c r="M79" s="395"/>
      <c r="N79" s="396">
        <f>IF('BP5'!$K67="",0,'BP5'!$K67)</f>
        <v>0</v>
      </c>
      <c r="O79" s="397">
        <f>IF('BP5'!$N67="",0,'BP5'!$N67)</f>
        <v>0</v>
      </c>
      <c r="P79" s="395"/>
      <c r="Q79" s="396">
        <f t="shared" si="0"/>
        <v>0</v>
      </c>
      <c r="R79" s="397">
        <f t="shared" si="1"/>
        <v>0</v>
      </c>
      <c r="S79" s="67"/>
      <c r="T79" s="117" t="s">
        <v>221</v>
      </c>
    </row>
    <row r="80" spans="1:20" ht="15.75" hidden="1" customHeight="1">
      <c r="A80" s="490" t="str">
        <f>IF(Q80&gt;0,"Subaward - "&amp;'Subaward Calculator'!B26,'BP1'!C68)</f>
        <v>Subaward VII</v>
      </c>
      <c r="B80" s="396">
        <f>'BP1'!$K68</f>
        <v>0</v>
      </c>
      <c r="C80" s="397">
        <f>'BP1'!$N68</f>
        <v>0</v>
      </c>
      <c r="D80" s="395"/>
      <c r="E80" s="396">
        <f>IF('BP2'!$K68="",0,'BP2'!$K68)</f>
        <v>0</v>
      </c>
      <c r="F80" s="397">
        <f>IF('BP2'!$N68="",0,'BP2'!$N68)</f>
        <v>0</v>
      </c>
      <c r="G80" s="395"/>
      <c r="H80" s="396">
        <f>IF('BP3'!$K68="",0,'BP3'!$K68)</f>
        <v>0</v>
      </c>
      <c r="I80" s="397">
        <f>IF('BP3'!$N68="",0,'BP3'!$N68)</f>
        <v>0</v>
      </c>
      <c r="J80" s="395"/>
      <c r="K80" s="396">
        <f>IF('BP4'!$K68="",0,'BP4'!$K68)</f>
        <v>0</v>
      </c>
      <c r="L80" s="397">
        <f>IF('BP4'!$N68="",0,'BP4'!$N68)</f>
        <v>0</v>
      </c>
      <c r="M80" s="395"/>
      <c r="N80" s="396">
        <f>IF('BP5'!$K68="",0,'BP5'!$K68)</f>
        <v>0</v>
      </c>
      <c r="O80" s="397">
        <f>IF('BP5'!$N68="",0,'BP5'!$N68)</f>
        <v>0</v>
      </c>
      <c r="P80" s="395"/>
      <c r="Q80" s="396">
        <f t="shared" si="0"/>
        <v>0</v>
      </c>
      <c r="R80" s="397">
        <f t="shared" si="1"/>
        <v>0</v>
      </c>
      <c r="S80" s="67"/>
      <c r="T80" s="117" t="s">
        <v>220</v>
      </c>
    </row>
    <row r="81" spans="1:20" ht="15.75" hidden="1" customHeight="1">
      <c r="A81" s="490" t="str">
        <f>IF(Q81&gt;0,"Subaward - "&amp;'Subaward Calculator'!B29,'BP1'!C69)</f>
        <v>Subaward VIII</v>
      </c>
      <c r="B81" s="396">
        <f>'BP1'!$K69</f>
        <v>0</v>
      </c>
      <c r="C81" s="397">
        <f>'BP1'!$N69</f>
        <v>0</v>
      </c>
      <c r="D81" s="395"/>
      <c r="E81" s="396">
        <f>IF('BP2'!$K69="",0,'BP2'!$K69)</f>
        <v>0</v>
      </c>
      <c r="F81" s="397">
        <f>IF('BP2'!$N69="",0,'BP2'!$N69)</f>
        <v>0</v>
      </c>
      <c r="G81" s="395"/>
      <c r="H81" s="396">
        <f>IF('BP3'!$K69="",0,'BP3'!$K69)</f>
        <v>0</v>
      </c>
      <c r="I81" s="397">
        <f>IF('BP3'!$N69="",0,'BP3'!$N69)</f>
        <v>0</v>
      </c>
      <c r="J81" s="395"/>
      <c r="K81" s="396">
        <f>IF('BP4'!$K69="",0,'BP4'!$K69)</f>
        <v>0</v>
      </c>
      <c r="L81" s="397">
        <f>IF('BP4'!$N69="",0,'BP4'!$N69)</f>
        <v>0</v>
      </c>
      <c r="M81" s="395"/>
      <c r="N81" s="396">
        <f>IF('BP5'!$K69="",0,'BP5'!$K69)</f>
        <v>0</v>
      </c>
      <c r="O81" s="397">
        <f>IF('BP5'!$N69="",0,'BP5'!$N69)</f>
        <v>0</v>
      </c>
      <c r="P81" s="395"/>
      <c r="Q81" s="396">
        <f t="shared" ref="Q81:Q92" si="4">B81+E81+H81+K81+N81</f>
        <v>0</v>
      </c>
      <c r="R81" s="397">
        <f t="shared" ref="R81:R92" si="5">C81+F81+I81+L81+O81</f>
        <v>0</v>
      </c>
      <c r="S81" s="67"/>
      <c r="T81" s="117" t="s">
        <v>220</v>
      </c>
    </row>
    <row r="82" spans="1:20" ht="15.75" hidden="1" customHeight="1">
      <c r="A82" s="490" t="str">
        <f>IF(Q82&gt;0,"Subaward - "&amp;'Subaward Calculator'!B32,'BP1'!C70)</f>
        <v>Subaward IX</v>
      </c>
      <c r="B82" s="396">
        <f>'BP1'!$K70</f>
        <v>0</v>
      </c>
      <c r="C82" s="397">
        <f>'BP1'!$N70</f>
        <v>0</v>
      </c>
      <c r="D82" s="395"/>
      <c r="E82" s="396">
        <f>IF('BP2'!$K70="",0,'BP2'!$K70)</f>
        <v>0</v>
      </c>
      <c r="F82" s="397">
        <f>IF('BP2'!$N70="",0,'BP2'!$N70)</f>
        <v>0</v>
      </c>
      <c r="G82" s="395"/>
      <c r="H82" s="396">
        <f>IF('BP3'!$K70="",0,'BP3'!$K70)</f>
        <v>0</v>
      </c>
      <c r="I82" s="397">
        <f>IF('BP3'!$N70="",0,'BP3'!$N70)</f>
        <v>0</v>
      </c>
      <c r="J82" s="395"/>
      <c r="K82" s="396">
        <f>IF('BP4'!$K70="",0,'BP4'!$K70)</f>
        <v>0</v>
      </c>
      <c r="L82" s="397">
        <f>IF('BP4'!$N70="",0,'BP4'!$N70)</f>
        <v>0</v>
      </c>
      <c r="M82" s="395"/>
      <c r="N82" s="396">
        <f>IF('BP5'!$K70="",0,'BP5'!$K70)</f>
        <v>0</v>
      </c>
      <c r="O82" s="397">
        <f>IF('BP5'!$N70="",0,'BP5'!$N70)</f>
        <v>0</v>
      </c>
      <c r="P82" s="395"/>
      <c r="Q82" s="396">
        <f t="shared" si="4"/>
        <v>0</v>
      </c>
      <c r="R82" s="397">
        <f t="shared" si="5"/>
        <v>0</v>
      </c>
      <c r="S82" s="67"/>
      <c r="T82" s="117" t="s">
        <v>220</v>
      </c>
    </row>
    <row r="83" spans="1:20" ht="15.75" hidden="1" customHeight="1">
      <c r="A83" s="490" t="str">
        <f>IF(Q83&gt;0,"Subaward - "&amp;'Subaward Calculator'!B35,'BP1'!C71)</f>
        <v>Subaward X</v>
      </c>
      <c r="B83" s="396">
        <f>'BP1'!$K71</f>
        <v>0</v>
      </c>
      <c r="C83" s="397">
        <f>'BP1'!$N71</f>
        <v>0</v>
      </c>
      <c r="D83" s="395"/>
      <c r="E83" s="396">
        <f>IF('BP2'!$K71="",0,'BP2'!$K71)</f>
        <v>0</v>
      </c>
      <c r="F83" s="397">
        <f>IF('BP2'!$N71="",0,'BP2'!$N71)</f>
        <v>0</v>
      </c>
      <c r="G83" s="395"/>
      <c r="H83" s="396">
        <f>IF('BP3'!$K71="",0,'BP3'!$K71)</f>
        <v>0</v>
      </c>
      <c r="I83" s="397">
        <f>IF('BP3'!$N71="",0,'BP3'!$N71)</f>
        <v>0</v>
      </c>
      <c r="J83" s="395"/>
      <c r="K83" s="396">
        <f>IF('BP4'!$K71="",0,'BP4'!$K71)</f>
        <v>0</v>
      </c>
      <c r="L83" s="397">
        <f>IF('BP4'!$N71="",0,'BP4'!$N71)</f>
        <v>0</v>
      </c>
      <c r="M83" s="395"/>
      <c r="N83" s="396">
        <f>IF('BP5'!$K71="",0,'BP5'!$K71)</f>
        <v>0</v>
      </c>
      <c r="O83" s="397">
        <f>IF('BP5'!$N71="",0,'BP5'!$N71)</f>
        <v>0</v>
      </c>
      <c r="P83" s="395"/>
      <c r="Q83" s="396">
        <f t="shared" si="4"/>
        <v>0</v>
      </c>
      <c r="R83" s="397">
        <f t="shared" si="5"/>
        <v>0</v>
      </c>
      <c r="S83" s="67"/>
      <c r="T83" s="117" t="s">
        <v>220</v>
      </c>
    </row>
    <row r="84" spans="1:20" ht="15.75" hidden="1" customHeight="1">
      <c r="A84" s="490" t="str">
        <f>IF(Q84&gt;0,"Subaward - "&amp;'Subaward Calculator'!B38,'BP1'!C72)</f>
        <v>Subaward XI</v>
      </c>
      <c r="B84" s="396">
        <f>'BP1'!$K72</f>
        <v>0</v>
      </c>
      <c r="C84" s="397">
        <f>'BP1'!$N72</f>
        <v>0</v>
      </c>
      <c r="D84" s="395"/>
      <c r="E84" s="396">
        <f>IF('BP2'!$K72="",0,'BP2'!$K72)</f>
        <v>0</v>
      </c>
      <c r="F84" s="397">
        <f>IF('BP2'!$N72="",0,'BP2'!$N72)</f>
        <v>0</v>
      </c>
      <c r="G84" s="395"/>
      <c r="H84" s="396">
        <f>IF('BP3'!$K72="",0,'BP3'!$K72)</f>
        <v>0</v>
      </c>
      <c r="I84" s="397">
        <f>IF('BP3'!$N72="",0,'BP3'!$N72)</f>
        <v>0</v>
      </c>
      <c r="J84" s="395"/>
      <c r="K84" s="396">
        <f>IF('BP4'!$K72="",0,'BP4'!$K72)</f>
        <v>0</v>
      </c>
      <c r="L84" s="397">
        <f>IF('BP4'!$N72="",0,'BP4'!$N72)</f>
        <v>0</v>
      </c>
      <c r="M84" s="395"/>
      <c r="N84" s="396">
        <f>IF('BP5'!$K72="",0,'BP5'!$K72)</f>
        <v>0</v>
      </c>
      <c r="O84" s="397">
        <f>IF('BP5'!$N72="",0,'BP5'!$N72)</f>
        <v>0</v>
      </c>
      <c r="P84" s="395"/>
      <c r="Q84" s="396">
        <f t="shared" si="4"/>
        <v>0</v>
      </c>
      <c r="R84" s="397">
        <f t="shared" si="5"/>
        <v>0</v>
      </c>
      <c r="S84" s="67"/>
      <c r="T84" s="117" t="s">
        <v>220</v>
      </c>
    </row>
    <row r="85" spans="1:20" ht="15.75" hidden="1" customHeight="1">
      <c r="A85" s="490" t="str">
        <f>IF(Q85&gt;0,"Subaward - "&amp;'Subaward Calculator'!B41,'BP1'!C73)</f>
        <v>Subaward XII</v>
      </c>
      <c r="B85" s="396">
        <f>'BP1'!$K73</f>
        <v>0</v>
      </c>
      <c r="C85" s="397">
        <f>'BP1'!$N73</f>
        <v>0</v>
      </c>
      <c r="D85" s="395"/>
      <c r="E85" s="396">
        <f>IF('BP2'!$K73="",0,'BP2'!$K73)</f>
        <v>0</v>
      </c>
      <c r="F85" s="397">
        <f>IF('BP2'!$N73="",0,'BP2'!$N73)</f>
        <v>0</v>
      </c>
      <c r="G85" s="395"/>
      <c r="H85" s="396">
        <f>IF('BP3'!$K73="",0,'BP3'!$K73)</f>
        <v>0</v>
      </c>
      <c r="I85" s="397">
        <f>IF('BP3'!$N73="",0,'BP3'!$N73)</f>
        <v>0</v>
      </c>
      <c r="J85" s="395"/>
      <c r="K85" s="396">
        <f>IF('BP4'!$K73="",0,'BP4'!$K73)</f>
        <v>0</v>
      </c>
      <c r="L85" s="397">
        <f>IF('BP4'!$N73="",0,'BP4'!$N73)</f>
        <v>0</v>
      </c>
      <c r="M85" s="395"/>
      <c r="N85" s="396">
        <f>IF('BP5'!$K73="",0,'BP5'!$K73)</f>
        <v>0</v>
      </c>
      <c r="O85" s="397">
        <f>IF('BP5'!$N73="",0,'BP5'!$N73)</f>
        <v>0</v>
      </c>
      <c r="P85" s="395"/>
      <c r="Q85" s="396">
        <f t="shared" si="4"/>
        <v>0</v>
      </c>
      <c r="R85" s="397">
        <f t="shared" si="5"/>
        <v>0</v>
      </c>
      <c r="S85" s="67"/>
      <c r="T85" s="117" t="s">
        <v>220</v>
      </c>
    </row>
    <row r="86" spans="1:20" ht="16.5" thickBot="1">
      <c r="A86" s="252" t="s">
        <v>94</v>
      </c>
      <c r="B86" s="414">
        <f>'BP1'!$K74</f>
        <v>0</v>
      </c>
      <c r="C86" s="415">
        <f>'BP1'!$N74</f>
        <v>0</v>
      </c>
      <c r="D86" s="407"/>
      <c r="E86" s="414">
        <f>'BP2'!$K74</f>
        <v>0</v>
      </c>
      <c r="F86" s="415">
        <f>'BP2'!$N74</f>
        <v>0</v>
      </c>
      <c r="G86" s="407"/>
      <c r="H86" s="414">
        <f>'BP3'!$K74</f>
        <v>0</v>
      </c>
      <c r="I86" s="415">
        <f>'BP3'!$N74</f>
        <v>0</v>
      </c>
      <c r="J86" s="407"/>
      <c r="K86" s="414">
        <f>'BP4'!$K74</f>
        <v>0</v>
      </c>
      <c r="L86" s="415">
        <f>'BP4'!$N74</f>
        <v>0</v>
      </c>
      <c r="M86" s="407"/>
      <c r="N86" s="414">
        <f>'BP5'!$K74</f>
        <v>0</v>
      </c>
      <c r="O86" s="415">
        <f>'BP5'!$N74</f>
        <v>0</v>
      </c>
      <c r="P86" s="407"/>
      <c r="Q86" s="414">
        <f t="shared" si="4"/>
        <v>0</v>
      </c>
      <c r="R86" s="415">
        <f t="shared" si="5"/>
        <v>0</v>
      </c>
      <c r="S86" s="247"/>
      <c r="T86" s="117" t="s">
        <v>219</v>
      </c>
    </row>
    <row r="87" spans="1:20" ht="16.5" thickBot="1">
      <c r="A87" s="62"/>
      <c r="B87" s="395"/>
      <c r="C87" s="395"/>
      <c r="D87" s="395"/>
      <c r="E87" s="395"/>
      <c r="F87" s="395"/>
      <c r="G87" s="395"/>
      <c r="H87" s="395"/>
      <c r="I87" s="395"/>
      <c r="J87" s="395"/>
      <c r="K87" s="395"/>
      <c r="L87" s="395"/>
      <c r="M87" s="395"/>
      <c r="N87" s="395"/>
      <c r="O87" s="395"/>
      <c r="P87" s="395"/>
      <c r="Q87" s="395"/>
      <c r="R87" s="395"/>
      <c r="S87" s="67"/>
      <c r="T87" s="117" t="s">
        <v>219</v>
      </c>
    </row>
    <row r="88" spans="1:20">
      <c r="A88" s="548" t="s">
        <v>582</v>
      </c>
      <c r="B88" s="549">
        <f>'BP1'!$K75</f>
        <v>0</v>
      </c>
      <c r="C88" s="416">
        <f>'BP1'!$N75</f>
        <v>0</v>
      </c>
      <c r="D88" s="407"/>
      <c r="E88" s="549">
        <f>'BP2'!$K75</f>
        <v>0</v>
      </c>
      <c r="F88" s="416">
        <f ca="1">'BP2'!$N75</f>
        <v>0</v>
      </c>
      <c r="G88" s="407"/>
      <c r="H88" s="549">
        <f>'BP3'!$K75</f>
        <v>0</v>
      </c>
      <c r="I88" s="416">
        <f ca="1">'BP3'!$N75</f>
        <v>0</v>
      </c>
      <c r="J88" s="407"/>
      <c r="K88" s="549">
        <f>'BP4'!$K75</f>
        <v>0</v>
      </c>
      <c r="L88" s="416">
        <f ca="1">'BP4'!$N75</f>
        <v>0</v>
      </c>
      <c r="M88" s="407"/>
      <c r="N88" s="549">
        <f>'BP5'!$K75</f>
        <v>0</v>
      </c>
      <c r="O88" s="416">
        <f ca="1">'BP5'!$N75</f>
        <v>0</v>
      </c>
      <c r="P88" s="407"/>
      <c r="Q88" s="549">
        <f>B88+E88+H88+K88+N88</f>
        <v>0</v>
      </c>
      <c r="R88" s="416">
        <f t="shared" ca="1" si="5"/>
        <v>0</v>
      </c>
      <c r="S88" s="247"/>
      <c r="T88" s="117" t="s">
        <v>219</v>
      </c>
    </row>
    <row r="89" spans="1:20">
      <c r="A89" s="550" t="str">
        <f>IF('Appendix C-Grants.gov Form Info'!J1&gt;0,IF(AND(SUM(Q74:Q85)&gt;0,'Subaward Calculator'!AD46=0),"","     Total NU Direct Costs and Subaward Direct Costs"),"")</f>
        <v/>
      </c>
      <c r="B89" s="551" t="str">
        <f>IF(AND(SUM(Q74:Q85)&gt;0,'Subaward Calculator'!AD46=0),"",'BP1'!$K76)</f>
        <v/>
      </c>
      <c r="C89" s="489"/>
      <c r="D89" s="407"/>
      <c r="E89" s="551" t="str">
        <f>IF(AND(SUM(Q74:Q85)&gt;0,'Subaward Calculator'!AD46=0),"",'BP2'!$K76)</f>
        <v/>
      </c>
      <c r="F89" s="489"/>
      <c r="G89" s="407"/>
      <c r="H89" s="551" t="str">
        <f>IF(AND(SUM(Q74:Q85)&gt;0,'Subaward Calculator'!AD46=0),"",'BP3'!$K76)</f>
        <v/>
      </c>
      <c r="I89" s="489"/>
      <c r="J89" s="407"/>
      <c r="K89" s="551" t="str">
        <f>IF(AND(SUM(Q74:Q85)&gt;0,'Subaward Calculator'!AD46=0),"",'BP4'!$K76)</f>
        <v/>
      </c>
      <c r="L89" s="489"/>
      <c r="M89" s="407"/>
      <c r="N89" s="551" t="str">
        <f>IF(AND(SUM(Q74:Q85)&gt;0,'Subaward Calculator'!AD46=0),"",'BP5'!$K76)</f>
        <v/>
      </c>
      <c r="O89" s="489"/>
      <c r="P89" s="407"/>
      <c r="Q89" s="551" t="str">
        <f>IF('Appendix C-Grants.gov Form Info'!J1&gt;0,IF(AND(SUM(Q74:Q85)&gt;0,'Subaward Calculator'!AD46=0),"",B89+E89+H89+K89+N89),"")</f>
        <v/>
      </c>
      <c r="R89" s="489"/>
      <c r="S89" s="247"/>
      <c r="T89" s="117" t="s">
        <v>219</v>
      </c>
    </row>
    <row r="90" spans="1:20">
      <c r="A90" s="552" t="s">
        <v>99</v>
      </c>
      <c r="B90" s="553">
        <f>'BP1'!$G78</f>
        <v>0</v>
      </c>
      <c r="C90" s="487">
        <f>'BP1'!$G$79</f>
        <v>0</v>
      </c>
      <c r="D90" s="395"/>
      <c r="E90" s="553">
        <f>'BP2'!$G78</f>
        <v>0</v>
      </c>
      <c r="F90" s="487">
        <f ca="1">'BP2'!$G$79</f>
        <v>0</v>
      </c>
      <c r="G90" s="395"/>
      <c r="H90" s="553">
        <f>'BP3'!$G78</f>
        <v>0</v>
      </c>
      <c r="I90" s="487">
        <f ca="1">'BP3'!$G$79</f>
        <v>0</v>
      </c>
      <c r="J90" s="395"/>
      <c r="K90" s="553">
        <f>'BP4'!$G78</f>
        <v>0</v>
      </c>
      <c r="L90" s="487">
        <f ca="1">'BP4'!$G$79</f>
        <v>0</v>
      </c>
      <c r="M90" s="395"/>
      <c r="N90" s="553">
        <f>'BP5'!$G78</f>
        <v>0</v>
      </c>
      <c r="O90" s="487">
        <f ca="1">'BP5'!$G$79</f>
        <v>0</v>
      </c>
      <c r="P90" s="395"/>
      <c r="Q90" s="553">
        <f t="shared" si="4"/>
        <v>0</v>
      </c>
      <c r="R90" s="487">
        <f t="shared" ca="1" si="5"/>
        <v>0</v>
      </c>
      <c r="S90" s="66"/>
      <c r="T90" s="117" t="s">
        <v>219</v>
      </c>
    </row>
    <row r="91" spans="1:20">
      <c r="A91" s="547" t="s">
        <v>291</v>
      </c>
      <c r="B91" s="554">
        <f ca="1">'BP1'!$K79</f>
        <v>0</v>
      </c>
      <c r="C91" s="399">
        <f ca="1">'BP1'!$N79</f>
        <v>0</v>
      </c>
      <c r="D91" s="395"/>
      <c r="E91" s="554">
        <f ca="1">'BP2'!$K79</f>
        <v>0</v>
      </c>
      <c r="F91" s="399">
        <f ca="1">'BP2'!$N79</f>
        <v>0</v>
      </c>
      <c r="G91" s="395"/>
      <c r="H91" s="554">
        <f ca="1">'BP3'!$K79</f>
        <v>0</v>
      </c>
      <c r="I91" s="399">
        <f ca="1">'BP3'!$N79</f>
        <v>0</v>
      </c>
      <c r="J91" s="395"/>
      <c r="K91" s="554">
        <f ca="1">'BP4'!$K79</f>
        <v>0</v>
      </c>
      <c r="L91" s="399">
        <f ca="1">'BP4'!$N79</f>
        <v>0</v>
      </c>
      <c r="M91" s="395"/>
      <c r="N91" s="554">
        <f ca="1">'BP5'!$K79</f>
        <v>0</v>
      </c>
      <c r="O91" s="399">
        <f ca="1">'BP5'!$N79</f>
        <v>0</v>
      </c>
      <c r="P91" s="395"/>
      <c r="Q91" s="554">
        <f t="shared" ca="1" si="4"/>
        <v>0</v>
      </c>
      <c r="R91" s="399">
        <f t="shared" ca="1" si="5"/>
        <v>0</v>
      </c>
      <c r="S91" s="66"/>
      <c r="T91" s="117" t="s">
        <v>219</v>
      </c>
    </row>
    <row r="92" spans="1:20" ht="16.5" thickBot="1">
      <c r="A92" s="548" t="s">
        <v>96</v>
      </c>
      <c r="B92" s="555">
        <f ca="1">'BP1'!$K80</f>
        <v>0</v>
      </c>
      <c r="C92" s="410">
        <f ca="1">'BP1'!$N80</f>
        <v>0</v>
      </c>
      <c r="D92" s="407"/>
      <c r="E92" s="555">
        <f>'BP2'!$K80</f>
        <v>0</v>
      </c>
      <c r="F92" s="410">
        <f ca="1">'BP2'!$N80</f>
        <v>0</v>
      </c>
      <c r="G92" s="407"/>
      <c r="H92" s="555">
        <f>'BP3'!$K80</f>
        <v>0</v>
      </c>
      <c r="I92" s="410">
        <f ca="1">'BP3'!$N80</f>
        <v>0</v>
      </c>
      <c r="J92" s="407"/>
      <c r="K92" s="555">
        <f>'BP4'!$K80</f>
        <v>0</v>
      </c>
      <c r="L92" s="410">
        <f ca="1">'BP4'!$N80</f>
        <v>0</v>
      </c>
      <c r="M92" s="407"/>
      <c r="N92" s="555">
        <f>'BP5'!$K80</f>
        <v>0</v>
      </c>
      <c r="O92" s="410">
        <f ca="1">'BP5'!$N80</f>
        <v>0</v>
      </c>
      <c r="P92" s="407"/>
      <c r="Q92" s="555">
        <f t="shared" ca="1" si="4"/>
        <v>0</v>
      </c>
      <c r="R92" s="410">
        <f t="shared" ca="1" si="5"/>
        <v>0</v>
      </c>
      <c r="S92" s="247"/>
      <c r="T92" s="117" t="s">
        <v>219</v>
      </c>
    </row>
    <row r="93" spans="1:20" ht="16.5" thickBot="1">
      <c r="B93" s="413"/>
      <c r="C93" s="413"/>
      <c r="D93" s="413"/>
      <c r="E93" s="413"/>
      <c r="F93" s="413"/>
      <c r="G93" s="413"/>
      <c r="H93" s="413"/>
      <c r="I93" s="413"/>
      <c r="J93" s="413"/>
      <c r="K93" s="413"/>
      <c r="L93" s="413"/>
      <c r="M93" s="413"/>
      <c r="N93" s="413"/>
      <c r="O93" s="413"/>
      <c r="P93" s="413"/>
      <c r="Q93" s="413"/>
      <c r="R93" s="413"/>
      <c r="T93" s="117" t="s">
        <v>219</v>
      </c>
    </row>
    <row r="94" spans="1:20">
      <c r="A94" s="253" t="s">
        <v>947</v>
      </c>
      <c r="B94" s="568"/>
      <c r="C94" s="584">
        <f>C38+C39</f>
        <v>0</v>
      </c>
      <c r="D94" s="413"/>
      <c r="E94" s="568"/>
      <c r="F94" s="584">
        <f ca="1">F38+F39</f>
        <v>0</v>
      </c>
      <c r="G94" s="413"/>
      <c r="H94" s="568"/>
      <c r="I94" s="584">
        <f ca="1">I38+I39</f>
        <v>0</v>
      </c>
      <c r="J94" s="413"/>
      <c r="K94" s="568"/>
      <c r="L94" s="584">
        <f ca="1">L38+L39</f>
        <v>0</v>
      </c>
      <c r="M94" s="413"/>
      <c r="N94" s="568"/>
      <c r="O94" s="584">
        <f ca="1">O38+O39</f>
        <v>0</v>
      </c>
      <c r="P94" s="413"/>
      <c r="Q94" s="568"/>
      <c r="R94" s="584">
        <f ca="1">R38+R39</f>
        <v>0</v>
      </c>
      <c r="T94" s="117" t="s">
        <v>219</v>
      </c>
    </row>
    <row r="95" spans="1:20">
      <c r="A95" s="253" t="s">
        <v>934</v>
      </c>
      <c r="B95" s="417"/>
      <c r="C95" s="565">
        <f>C41+C42+C43+C44+C45+C46+C47+C48+C49+C50+C51+C52+C55+C57+C58+C63+C64+C65+C67+C68+C69+C70+C72+C73</f>
        <v>0</v>
      </c>
      <c r="D95" s="413"/>
      <c r="E95" s="417"/>
      <c r="F95" s="565">
        <f ca="1">F41+F42+F43+F44+F45+F46+F47+F48+F49+F50+F51+F52+F55+F57+F58+F63+F64+F65+F67+F68+F69+F70+F72+F73</f>
        <v>0</v>
      </c>
      <c r="G95" s="413"/>
      <c r="H95" s="417"/>
      <c r="I95" s="565">
        <f ca="1">I41+I42+I43+I44+I45+I46+I47+I48+I49+I50+I51+I52+I55+I57+I58+I63+I64+I65+I67+I68+I69+I70+I72+I73</f>
        <v>0</v>
      </c>
      <c r="J95" s="413"/>
      <c r="K95" s="417"/>
      <c r="L95" s="565">
        <f ca="1">L41+L42+L43+L44+L45+L46+L47+L48+L49+L50+L51+L52+L55+L57+L58+L63+L64+L65+L67+L68+L69+L70+L72+L73</f>
        <v>0</v>
      </c>
      <c r="M95" s="413"/>
      <c r="N95" s="417"/>
      <c r="O95" s="565">
        <f ca="1">O41+O42+O43+O44+O45+O46+O47+O48+O49+O50+O51+O52+O55+O57+O58+O63+O64+O65+O67+O68+O69+O70+O72+O73</f>
        <v>0</v>
      </c>
      <c r="P95" s="413"/>
      <c r="Q95" s="417"/>
      <c r="R95" s="565">
        <f ca="1">R41+R42+R43+R44+R45+R46+R47+R48+R49+R50+R51+R52+R55+R57+R58+R63+R64+R65+R67+R68+R69+R70+R72+R73</f>
        <v>0</v>
      </c>
      <c r="T95" s="117" t="s">
        <v>219</v>
      </c>
    </row>
    <row r="96" spans="1:20">
      <c r="A96" s="253" t="s">
        <v>935</v>
      </c>
      <c r="B96" s="417"/>
      <c r="C96" s="567">
        <f>'BP1'!M38/3</f>
        <v>0</v>
      </c>
      <c r="D96" s="566"/>
      <c r="E96" s="417"/>
      <c r="F96" s="567">
        <f>'BP2'!M38/3</f>
        <v>0</v>
      </c>
      <c r="G96" s="566"/>
      <c r="H96" s="417"/>
      <c r="I96" s="567">
        <f>'BP3'!M38/3</f>
        <v>0</v>
      </c>
      <c r="J96" s="566"/>
      <c r="K96" s="417"/>
      <c r="L96" s="567">
        <f>'BP4'!M38/3</f>
        <v>0</v>
      </c>
      <c r="M96" s="566"/>
      <c r="N96" s="417"/>
      <c r="O96" s="567">
        <f>'BP5'!M38/3</f>
        <v>0</v>
      </c>
      <c r="P96" s="566"/>
      <c r="Q96" s="417"/>
      <c r="R96" s="567">
        <f>C96+F96+I96+L96+O96</f>
        <v>0</v>
      </c>
      <c r="T96" s="117" t="s">
        <v>219</v>
      </c>
    </row>
    <row r="97" spans="1:20">
      <c r="A97" s="253" t="s">
        <v>950</v>
      </c>
      <c r="B97" s="417"/>
      <c r="C97" s="565">
        <f>C53+C54+C71</f>
        <v>0</v>
      </c>
      <c r="D97" s="566"/>
      <c r="E97" s="417"/>
      <c r="F97" s="565">
        <f ca="1">F53+F54+F71</f>
        <v>0</v>
      </c>
      <c r="G97" s="566"/>
      <c r="H97" s="417"/>
      <c r="I97" s="565">
        <f ca="1">I53+I54+I71</f>
        <v>0</v>
      </c>
      <c r="J97" s="566"/>
      <c r="K97" s="417"/>
      <c r="L97" s="565">
        <f ca="1">L53+L54+L71</f>
        <v>0</v>
      </c>
      <c r="M97" s="566"/>
      <c r="N97" s="417"/>
      <c r="O97" s="565">
        <f ca="1">O53+O54+O71</f>
        <v>0</v>
      </c>
      <c r="P97" s="566"/>
      <c r="Q97" s="417"/>
      <c r="R97" s="565">
        <f ca="1">R53+R54+R71</f>
        <v>0</v>
      </c>
      <c r="T97" s="117" t="s">
        <v>219</v>
      </c>
    </row>
    <row r="98" spans="1:20" ht="12.75" customHeight="1">
      <c r="A98" s="582" t="s">
        <v>951</v>
      </c>
      <c r="B98" s="580"/>
      <c r="C98" s="583">
        <f>C53</f>
        <v>0</v>
      </c>
      <c r="D98" s="581"/>
      <c r="E98" s="580"/>
      <c r="F98" s="583">
        <f ca="1">F53</f>
        <v>0</v>
      </c>
      <c r="G98" s="581"/>
      <c r="H98" s="580"/>
      <c r="I98" s="583">
        <f ca="1">I53</f>
        <v>0</v>
      </c>
      <c r="J98" s="581"/>
      <c r="K98" s="580"/>
      <c r="L98" s="583">
        <f ca="1">L53</f>
        <v>0</v>
      </c>
      <c r="M98" s="581"/>
      <c r="N98" s="580"/>
      <c r="O98" s="583">
        <f ca="1">O53</f>
        <v>0</v>
      </c>
      <c r="P98" s="581"/>
      <c r="Q98" s="580"/>
      <c r="R98" s="583">
        <f ca="1">R53</f>
        <v>0</v>
      </c>
      <c r="T98" s="117" t="s">
        <v>219</v>
      </c>
    </row>
    <row r="99" spans="1:20" ht="12.75" customHeight="1">
      <c r="A99" s="582" t="s">
        <v>952</v>
      </c>
      <c r="B99" s="580"/>
      <c r="C99" s="583">
        <f>C54</f>
        <v>0</v>
      </c>
      <c r="D99" s="581"/>
      <c r="E99" s="580"/>
      <c r="F99" s="583">
        <f ca="1">F54</f>
        <v>0</v>
      </c>
      <c r="G99" s="581"/>
      <c r="H99" s="580"/>
      <c r="I99" s="583">
        <f ca="1">I54</f>
        <v>0</v>
      </c>
      <c r="J99" s="581"/>
      <c r="K99" s="580"/>
      <c r="L99" s="583">
        <f ca="1">L54</f>
        <v>0</v>
      </c>
      <c r="M99" s="581"/>
      <c r="N99" s="580"/>
      <c r="O99" s="583">
        <f ca="1">O54</f>
        <v>0</v>
      </c>
      <c r="P99" s="581"/>
      <c r="Q99" s="580"/>
      <c r="R99" s="583">
        <f ca="1">R54</f>
        <v>0</v>
      </c>
      <c r="T99" s="117" t="s">
        <v>219</v>
      </c>
    </row>
    <row r="100" spans="1:20" ht="12.75" customHeight="1">
      <c r="A100" s="582" t="s">
        <v>953</v>
      </c>
      <c r="B100" s="580"/>
      <c r="C100" s="583">
        <f>C71</f>
        <v>0</v>
      </c>
      <c r="D100" s="581"/>
      <c r="E100" s="580"/>
      <c r="F100" s="583">
        <f>F71</f>
        <v>0</v>
      </c>
      <c r="G100" s="581"/>
      <c r="H100" s="580"/>
      <c r="I100" s="583">
        <f>I71</f>
        <v>0</v>
      </c>
      <c r="J100" s="581"/>
      <c r="K100" s="580"/>
      <c r="L100" s="583">
        <f>L71</f>
        <v>0</v>
      </c>
      <c r="M100" s="581"/>
      <c r="N100" s="580"/>
      <c r="O100" s="583">
        <f>O71</f>
        <v>0</v>
      </c>
      <c r="P100" s="581"/>
      <c r="Q100" s="580"/>
      <c r="R100" s="583">
        <f>R71</f>
        <v>0</v>
      </c>
      <c r="T100" s="117" t="s">
        <v>219</v>
      </c>
    </row>
    <row r="101" spans="1:20">
      <c r="A101" s="253" t="s">
        <v>948</v>
      </c>
      <c r="B101" s="580"/>
      <c r="C101" s="586">
        <f ca="1">C91</f>
        <v>0</v>
      </c>
      <c r="D101" s="413"/>
      <c r="E101" s="580"/>
      <c r="F101" s="586">
        <f ca="1">F91</f>
        <v>0</v>
      </c>
      <c r="G101" s="413"/>
      <c r="H101" s="580"/>
      <c r="I101" s="586">
        <f ca="1">I91</f>
        <v>0</v>
      </c>
      <c r="J101" s="413"/>
      <c r="K101" s="580"/>
      <c r="L101" s="586">
        <f ca="1">L91</f>
        <v>0</v>
      </c>
      <c r="M101" s="413"/>
      <c r="N101" s="580"/>
      <c r="O101" s="586">
        <f ca="1">O91</f>
        <v>0</v>
      </c>
      <c r="P101" s="413"/>
      <c r="Q101" s="580"/>
      <c r="R101" s="586">
        <f ca="1">R91</f>
        <v>0</v>
      </c>
      <c r="T101" s="117" t="s">
        <v>219</v>
      </c>
    </row>
    <row r="102" spans="1:20" ht="16.5" thickBot="1">
      <c r="A102" s="589" t="s">
        <v>946</v>
      </c>
      <c r="B102" s="590"/>
      <c r="C102" s="585">
        <f ca="1">'BP1'!$N87</f>
        <v>0</v>
      </c>
      <c r="D102" s="413"/>
      <c r="E102" s="590"/>
      <c r="F102" s="585">
        <f ca="1">'BP2'!$N87</f>
        <v>0</v>
      </c>
      <c r="G102" s="413"/>
      <c r="H102" s="577"/>
      <c r="I102" s="585">
        <f ca="1">'BP3'!$N87</f>
        <v>0</v>
      </c>
      <c r="J102" s="413"/>
      <c r="K102" s="577"/>
      <c r="L102" s="585">
        <f>'BP4'!$N87</f>
        <v>0</v>
      </c>
      <c r="M102" s="413"/>
      <c r="N102" s="577"/>
      <c r="O102" s="585">
        <f ca="1">'BP5'!$N87</f>
        <v>0</v>
      </c>
      <c r="P102" s="413"/>
      <c r="Q102" s="577"/>
      <c r="R102" s="585">
        <f ca="1">'BP1'!P87</f>
        <v>0</v>
      </c>
      <c r="T102" s="117" t="s">
        <v>219</v>
      </c>
    </row>
    <row r="103" spans="1:20">
      <c r="A103" s="588" t="s">
        <v>585</v>
      </c>
      <c r="B103" s="417"/>
      <c r="C103" s="579">
        <f>'BP1'!$N88</f>
        <v>0</v>
      </c>
      <c r="D103" s="413"/>
      <c r="E103" s="417"/>
      <c r="F103" s="579">
        <f>'BP2'!$N88</f>
        <v>0</v>
      </c>
      <c r="G103" s="413"/>
      <c r="H103" s="417"/>
      <c r="I103" s="579">
        <f>'BP3'!$N88</f>
        <v>0</v>
      </c>
      <c r="J103" s="413"/>
      <c r="K103" s="417"/>
      <c r="L103" s="579">
        <f>'BP4'!$N88</f>
        <v>0</v>
      </c>
      <c r="M103" s="413"/>
      <c r="N103" s="417"/>
      <c r="O103" s="579">
        <f>'BP5'!$N88</f>
        <v>0</v>
      </c>
      <c r="P103" s="413"/>
      <c r="Q103" s="417"/>
      <c r="R103" s="579">
        <f>'BP1'!P88</f>
        <v>0</v>
      </c>
      <c r="T103" s="117" t="s">
        <v>219</v>
      </c>
    </row>
    <row r="104" spans="1:20">
      <c r="A104" s="578" t="s">
        <v>511</v>
      </c>
      <c r="B104" s="417"/>
      <c r="C104" s="587">
        <f>'BP1'!$N89</f>
        <v>0</v>
      </c>
      <c r="D104" s="413"/>
      <c r="E104" s="417"/>
      <c r="F104" s="587">
        <f>'BP2'!$N89</f>
        <v>0</v>
      </c>
      <c r="G104" s="413"/>
      <c r="H104" s="417"/>
      <c r="I104" s="587">
        <f>'BP3'!$N89</f>
        <v>0</v>
      </c>
      <c r="J104" s="413"/>
      <c r="K104" s="417"/>
      <c r="L104" s="587">
        <f>'BP4'!$N89</f>
        <v>0</v>
      </c>
      <c r="M104" s="413"/>
      <c r="N104" s="417"/>
      <c r="O104" s="587">
        <f>'BP5'!$N89</f>
        <v>0</v>
      </c>
      <c r="P104" s="413"/>
      <c r="Q104" s="417"/>
      <c r="R104" s="587">
        <f>'BP1'!P89</f>
        <v>0</v>
      </c>
      <c r="T104" s="117" t="s">
        <v>219</v>
      </c>
    </row>
    <row r="105" spans="1:20">
      <c r="A105" s="253" t="s">
        <v>589</v>
      </c>
      <c r="B105" s="417"/>
      <c r="C105" s="496">
        <f ca="1">'BP1'!$N90</f>
        <v>0</v>
      </c>
      <c r="D105" s="413"/>
      <c r="E105" s="417"/>
      <c r="F105" s="496">
        <f ca="1">'BP2'!$N90</f>
        <v>0</v>
      </c>
      <c r="G105" s="413"/>
      <c r="H105" s="417"/>
      <c r="I105" s="496">
        <f ca="1">'BP3'!$N90</f>
        <v>0</v>
      </c>
      <c r="J105" s="413"/>
      <c r="K105" s="417"/>
      <c r="L105" s="496">
        <f ca="1">'BP4'!$N90</f>
        <v>0</v>
      </c>
      <c r="M105" s="413"/>
      <c r="N105" s="417"/>
      <c r="O105" s="496">
        <f ca="1">'BP5'!$N90</f>
        <v>0</v>
      </c>
      <c r="P105" s="413"/>
      <c r="Q105" s="417"/>
      <c r="R105" s="496">
        <f ca="1">'BP1'!P90</f>
        <v>0</v>
      </c>
      <c r="T105" s="117" t="s">
        <v>219</v>
      </c>
    </row>
    <row r="106" spans="1:20">
      <c r="A106" s="548" t="s">
        <v>942</v>
      </c>
      <c r="B106" s="417"/>
      <c r="C106" s="556">
        <f ca="1">'BP1'!$N91</f>
        <v>0</v>
      </c>
      <c r="D106" s="413"/>
      <c r="E106" s="417"/>
      <c r="F106" s="556">
        <f ca="1">'BP2'!$N91</f>
        <v>0</v>
      </c>
      <c r="G106" s="413"/>
      <c r="H106" s="417"/>
      <c r="I106" s="556">
        <f ca="1">'BP3'!$N91</f>
        <v>0</v>
      </c>
      <c r="J106" s="413"/>
      <c r="K106" s="417"/>
      <c r="L106" s="556">
        <f ca="1">'BP4'!$N91</f>
        <v>0</v>
      </c>
      <c r="M106" s="413"/>
      <c r="N106" s="417"/>
      <c r="O106" s="556">
        <f ca="1">'BP5'!$N91</f>
        <v>0</v>
      </c>
      <c r="P106" s="413"/>
      <c r="Q106" s="417"/>
      <c r="R106" s="556">
        <f ca="1">'BP1'!P91</f>
        <v>0</v>
      </c>
      <c r="T106" s="117" t="s">
        <v>219</v>
      </c>
    </row>
    <row r="107" spans="1:20">
      <c r="A107" s="548" t="s">
        <v>943</v>
      </c>
      <c r="B107" s="417"/>
      <c r="C107" s="556">
        <f ca="1">'BP1'!$N92</f>
        <v>0</v>
      </c>
      <c r="D107" s="413"/>
      <c r="E107" s="417"/>
      <c r="F107" s="556">
        <f ca="1">'BP2'!$N92</f>
        <v>0</v>
      </c>
      <c r="G107" s="413"/>
      <c r="H107" s="417"/>
      <c r="I107" s="556">
        <f ca="1">'BP3'!$N92</f>
        <v>0</v>
      </c>
      <c r="J107" s="413"/>
      <c r="K107" s="417"/>
      <c r="L107" s="556">
        <f ca="1">'BP4'!$N92</f>
        <v>0</v>
      </c>
      <c r="M107" s="413"/>
      <c r="N107" s="417"/>
      <c r="O107" s="556">
        <f ca="1">'BP5'!$N92</f>
        <v>0</v>
      </c>
      <c r="P107" s="413"/>
      <c r="Q107" s="417"/>
      <c r="R107" s="556">
        <f ca="1">'BP1'!P92</f>
        <v>0</v>
      </c>
      <c r="T107" s="117"/>
    </row>
    <row r="108" spans="1:20">
      <c r="A108" s="548" t="s">
        <v>293</v>
      </c>
      <c r="B108" s="417"/>
      <c r="C108" s="556">
        <f ca="1">'BP1'!$N93</f>
        <v>0</v>
      </c>
      <c r="D108" s="413"/>
      <c r="E108" s="417"/>
      <c r="F108" s="556">
        <f ca="1">'BP2'!$N93</f>
        <v>0</v>
      </c>
      <c r="G108" s="413"/>
      <c r="H108" s="417"/>
      <c r="I108" s="556">
        <f ca="1">'BP3'!$N93</f>
        <v>0</v>
      </c>
      <c r="J108" s="413"/>
      <c r="K108" s="417"/>
      <c r="L108" s="556">
        <f ca="1">'BP4'!$N93</f>
        <v>0</v>
      </c>
      <c r="M108" s="413"/>
      <c r="N108" s="417"/>
      <c r="O108" s="556">
        <f ca="1">'BP5'!$N93</f>
        <v>0</v>
      </c>
      <c r="P108" s="413"/>
      <c r="Q108" s="417"/>
      <c r="R108" s="556">
        <f ca="1">'BP1'!P93</f>
        <v>0</v>
      </c>
      <c r="T108" s="117" t="s">
        <v>219</v>
      </c>
    </row>
    <row r="109" spans="1:20">
      <c r="A109" s="253" t="s">
        <v>512</v>
      </c>
      <c r="B109" s="254"/>
      <c r="C109" s="497">
        <f ca="1">IFERROR(C105/C106,)</f>
        <v>0</v>
      </c>
      <c r="D109" s="360"/>
      <c r="E109" s="361"/>
      <c r="F109" s="497">
        <f ca="1">IFERROR(F105/F106,)</f>
        <v>0</v>
      </c>
      <c r="G109" s="360"/>
      <c r="H109" s="361"/>
      <c r="I109" s="497">
        <f ca="1">IFERROR(I105/I106,)</f>
        <v>0</v>
      </c>
      <c r="J109" s="360"/>
      <c r="K109" s="361"/>
      <c r="L109" s="497">
        <f ca="1">IFERROR(L105/L106,)</f>
        <v>0</v>
      </c>
      <c r="M109" s="360"/>
      <c r="N109" s="361"/>
      <c r="O109" s="497">
        <f ca="1">IFERROR(O105/O106,)</f>
        <v>0</v>
      </c>
      <c r="P109" s="360"/>
      <c r="Q109" s="361"/>
      <c r="R109" s="497">
        <f ca="1">IFERROR(R105/R106,)</f>
        <v>0</v>
      </c>
      <c r="T109" s="117" t="s">
        <v>219</v>
      </c>
    </row>
    <row r="110" spans="1:20" ht="16.5" thickBot="1">
      <c r="A110" s="253" t="s">
        <v>513</v>
      </c>
      <c r="B110" s="255"/>
      <c r="C110" s="362">
        <f ca="1">IFERROR(C105/C108,)</f>
        <v>0</v>
      </c>
      <c r="D110" s="360"/>
      <c r="E110" s="363"/>
      <c r="F110" s="362">
        <f ca="1">IFERROR(F105/F108,)</f>
        <v>0</v>
      </c>
      <c r="G110" s="360"/>
      <c r="H110" s="363"/>
      <c r="I110" s="362">
        <f ca="1">IFERROR(I105/I108,)</f>
        <v>0</v>
      </c>
      <c r="J110" s="360"/>
      <c r="K110" s="363"/>
      <c r="L110" s="362">
        <f ca="1">IFERROR(L105/L108,)</f>
        <v>0</v>
      </c>
      <c r="M110" s="360"/>
      <c r="N110" s="363"/>
      <c r="O110" s="362">
        <f ca="1">IFERROR(O105/O108,)</f>
        <v>0</v>
      </c>
      <c r="P110" s="360"/>
      <c r="Q110" s="363"/>
      <c r="R110" s="362">
        <f ca="1">IFERROR(R105/R108,)</f>
        <v>0</v>
      </c>
      <c r="T110" s="117" t="s">
        <v>219</v>
      </c>
    </row>
    <row r="111" spans="1:20" ht="16.5" thickBot="1">
      <c r="B111" s="628" t="str">
        <f>B5</f>
        <v>Budget Period 1</v>
      </c>
      <c r="C111" s="629"/>
      <c r="E111" s="628" t="str">
        <f>E5</f>
        <v/>
      </c>
      <c r="F111" s="629"/>
      <c r="H111" s="628" t="str">
        <f>H5</f>
        <v/>
      </c>
      <c r="I111" s="629"/>
      <c r="K111" s="628" t="str">
        <f>K5</f>
        <v/>
      </c>
      <c r="L111" s="629"/>
      <c r="N111" s="628" t="str">
        <f>N5</f>
        <v/>
      </c>
      <c r="O111" s="629"/>
      <c r="Q111" s="628" t="str">
        <f>Q5</f>
        <v>Cumulative</v>
      </c>
      <c r="R111" s="629"/>
      <c r="T111" s="117" t="s">
        <v>219</v>
      </c>
    </row>
    <row r="112" spans="1:20">
      <c r="T112" s="117"/>
    </row>
  </sheetData>
  <autoFilter ref="T1:T111" xr:uid="{00000000-0009-0000-0000-000001000000}">
    <filterColumn colId="0">
      <filters>
        <filter val="A) Condensed"/>
      </filters>
    </filterColumn>
  </autoFilter>
  <mergeCells count="97">
    <mergeCell ref="V8:X9"/>
    <mergeCell ref="AR22:AT23"/>
    <mergeCell ref="AN40:AP40"/>
    <mergeCell ref="E6:F6"/>
    <mergeCell ref="H6:I6"/>
    <mergeCell ref="K6:L6"/>
    <mergeCell ref="N6:O6"/>
    <mergeCell ref="AB40:AD40"/>
    <mergeCell ref="AE40:AG40"/>
    <mergeCell ref="AH40:AJ40"/>
    <mergeCell ref="AH7:AJ7"/>
    <mergeCell ref="AK7:AM7"/>
    <mergeCell ref="AN7:AP7"/>
    <mergeCell ref="AK40:AM40"/>
    <mergeCell ref="V26:X27"/>
    <mergeCell ref="V28:X29"/>
    <mergeCell ref="Y40:AA40"/>
    <mergeCell ref="AR26:AT27"/>
    <mergeCell ref="AR24:AT25"/>
    <mergeCell ref="A2:C2"/>
    <mergeCell ref="A3:C3"/>
    <mergeCell ref="H3:I3"/>
    <mergeCell ref="AB7:AD7"/>
    <mergeCell ref="AE7:AG7"/>
    <mergeCell ref="V7:X7"/>
    <mergeCell ref="V6:AP6"/>
    <mergeCell ref="I2:M2"/>
    <mergeCell ref="D2:H2"/>
    <mergeCell ref="B6:C6"/>
    <mergeCell ref="V24:X25"/>
    <mergeCell ref="V22:X23"/>
    <mergeCell ref="AR18:AT19"/>
    <mergeCell ref="AR20:AT21"/>
    <mergeCell ref="AR57:AT58"/>
    <mergeCell ref="AR43:AT44"/>
    <mergeCell ref="AR53:AT54"/>
    <mergeCell ref="AR28:AT29"/>
    <mergeCell ref="AR32:AT33"/>
    <mergeCell ref="AR34:AT35"/>
    <mergeCell ref="AR45:AT46"/>
    <mergeCell ref="AR47:AT48"/>
    <mergeCell ref="AR49:AT50"/>
    <mergeCell ref="AR51:AT52"/>
    <mergeCell ref="AR39:AZ39"/>
    <mergeCell ref="AR40:AT40"/>
    <mergeCell ref="AR41:AT42"/>
    <mergeCell ref="AR30:AT31"/>
    <mergeCell ref="AR36:AT37"/>
    <mergeCell ref="AR55:AT56"/>
    <mergeCell ref="A1:R1"/>
    <mergeCell ref="N2:R2"/>
    <mergeCell ref="A4:R4"/>
    <mergeCell ref="V1:AZ3"/>
    <mergeCell ref="B5:C5"/>
    <mergeCell ref="E5:F5"/>
    <mergeCell ref="H5:I5"/>
    <mergeCell ref="K5:L5"/>
    <mergeCell ref="N5:O5"/>
    <mergeCell ref="Q5:R5"/>
    <mergeCell ref="N3:R3"/>
    <mergeCell ref="A5:A7"/>
    <mergeCell ref="Q6:R6"/>
    <mergeCell ref="Y7:AA7"/>
    <mergeCell ref="AR6:AZ6"/>
    <mergeCell ref="AR7:AT7"/>
    <mergeCell ref="AR8:AT9"/>
    <mergeCell ref="B111:C111"/>
    <mergeCell ref="E111:F111"/>
    <mergeCell ref="H111:I111"/>
    <mergeCell ref="K111:L111"/>
    <mergeCell ref="N111:O111"/>
    <mergeCell ref="Q111:R111"/>
    <mergeCell ref="V43:X44"/>
    <mergeCell ref="V39:AP39"/>
    <mergeCell ref="V30:X31"/>
    <mergeCell ref="V34:X35"/>
    <mergeCell ref="V36:X37"/>
    <mergeCell ref="V32:X33"/>
    <mergeCell ref="AR10:AT11"/>
    <mergeCell ref="V14:X15"/>
    <mergeCell ref="V57:X58"/>
    <mergeCell ref="AR14:AT15"/>
    <mergeCell ref="AR16:AT17"/>
    <mergeCell ref="AR12:AT13"/>
    <mergeCell ref="V55:X56"/>
    <mergeCell ref="V10:X11"/>
    <mergeCell ref="V20:X21"/>
    <mergeCell ref="V40:X40"/>
    <mergeCell ref="V41:X42"/>
    <mergeCell ref="V53:X54"/>
    <mergeCell ref="V45:X46"/>
    <mergeCell ref="V47:X48"/>
    <mergeCell ref="V49:X50"/>
    <mergeCell ref="V51:X52"/>
    <mergeCell ref="V12:X13"/>
    <mergeCell ref="V18:X19"/>
    <mergeCell ref="V16:X17"/>
  </mergeCells>
  <printOptions horizontalCentered="1" verticalCentered="1"/>
  <pageMargins left="0.25" right="0.25" top="0.25" bottom="0.25" header="0.25" footer="0.25"/>
  <pageSetup scale="52" orientation="landscape" r:id="rId1"/>
  <headerFooter alignWithMargins="0"/>
  <ignoredErrors>
    <ignoredError sqref="A11:A24 A25:A36 Q89" formula="1"/>
  </ignoredErrors>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filterMode="1">
    <tabColor theme="4" tint="0.59999389629810485"/>
    <pageSetUpPr fitToPage="1"/>
  </sheetPr>
  <dimension ref="A1:V113"/>
  <sheetViews>
    <sheetView showGridLines="0" showZeros="0" tabSelected="1" zoomScaleNormal="100" zoomScaleSheetLayoutView="85" workbookViewId="0">
      <selection activeCell="U1" sqref="U1"/>
    </sheetView>
  </sheetViews>
  <sheetFormatPr defaultColWidth="10.7109375" defaultRowHeight="12.75" outlineLevelCol="1"/>
  <cols>
    <col min="1" max="1" width="2.42578125" style="6" customWidth="1"/>
    <col min="2" max="2" width="3.85546875" customWidth="1"/>
    <col min="3" max="3" width="1.5703125" customWidth="1"/>
    <col min="4" max="4" width="27.140625" style="3" customWidth="1"/>
    <col min="5" max="5" width="6.5703125" style="3" customWidth="1"/>
    <col min="6" max="6" width="9" style="3" customWidth="1"/>
    <col min="7" max="7" width="11.28515625" customWidth="1"/>
    <col min="8" max="9" width="6.85546875" customWidth="1"/>
    <col min="10" max="10" width="6.85546875" style="118" customWidth="1"/>
    <col min="11" max="11" width="12.140625" customWidth="1"/>
    <col min="12" max="12" width="12.140625" style="81" customWidth="1"/>
    <col min="13" max="13" width="5.85546875" style="81" customWidth="1" outlineLevel="1"/>
    <col min="14" max="14" width="12.140625" customWidth="1" outlineLevel="1"/>
    <col min="15" max="15" width="12.140625" style="81" customWidth="1" outlineLevel="1"/>
    <col min="16" max="16" width="14.42578125" style="81" customWidth="1"/>
    <col min="17" max="18" width="28.5703125" style="81" customWidth="1"/>
    <col min="19" max="19" width="14.42578125" style="81" customWidth="1"/>
    <col min="20" max="20" width="54.5703125" style="4" hidden="1" customWidth="1"/>
    <col min="21" max="21" width="35.5703125" style="1" bestFit="1" customWidth="1"/>
    <col min="22" max="22" width="14.7109375" style="1" bestFit="1" customWidth="1"/>
    <col min="23" max="16384" width="10.7109375" style="1"/>
  </cols>
  <sheetData>
    <row r="1" spans="1:22" ht="14.25" customHeight="1" thickBot="1">
      <c r="A1" s="716" t="s">
        <v>508</v>
      </c>
      <c r="B1" s="717"/>
      <c r="C1" s="717"/>
      <c r="D1" s="717"/>
      <c r="E1" s="717"/>
      <c r="F1" s="717"/>
      <c r="G1" s="717"/>
      <c r="H1" s="717"/>
      <c r="I1" s="717"/>
      <c r="J1" s="718"/>
      <c r="K1" s="722" t="s">
        <v>225</v>
      </c>
      <c r="L1" s="723"/>
      <c r="M1" s="695"/>
      <c r="N1" s="696"/>
      <c r="O1" s="696"/>
      <c r="P1" s="805" t="s">
        <v>229</v>
      </c>
      <c r="Q1" s="806"/>
      <c r="R1" s="806"/>
      <c r="S1" s="806"/>
      <c r="T1" s="447"/>
      <c r="U1" s="119" t="s">
        <v>188</v>
      </c>
      <c r="V1" s="546"/>
    </row>
    <row r="2" spans="1:22" ht="14.25" customHeight="1">
      <c r="A2" s="719"/>
      <c r="B2" s="720"/>
      <c r="C2" s="720"/>
      <c r="D2" s="720"/>
      <c r="E2" s="720"/>
      <c r="F2" s="720"/>
      <c r="G2" s="720"/>
      <c r="H2" s="720"/>
      <c r="I2" s="720"/>
      <c r="J2" s="720"/>
      <c r="K2" s="465" t="s">
        <v>284</v>
      </c>
      <c r="L2" s="464" t="s">
        <v>416</v>
      </c>
      <c r="M2" s="696"/>
      <c r="N2" s="696"/>
      <c r="O2" s="696"/>
      <c r="P2" s="807"/>
      <c r="Q2" s="808"/>
      <c r="R2" s="808"/>
      <c r="S2" s="808"/>
      <c r="T2" s="448"/>
      <c r="U2" s="117" t="s">
        <v>219</v>
      </c>
    </row>
    <row r="3" spans="1:22" ht="14.25" customHeight="1">
      <c r="A3" s="719"/>
      <c r="B3" s="720"/>
      <c r="C3" s="720"/>
      <c r="D3" s="720"/>
      <c r="E3" s="720"/>
      <c r="F3" s="720"/>
      <c r="G3" s="720"/>
      <c r="H3" s="720"/>
      <c r="I3" s="720"/>
      <c r="J3" s="720"/>
      <c r="K3" s="707" t="s">
        <v>509</v>
      </c>
      <c r="L3" s="708"/>
      <c r="M3" s="696"/>
      <c r="N3" s="696"/>
      <c r="O3" s="696"/>
      <c r="P3" s="809" t="s">
        <v>910</v>
      </c>
      <c r="Q3" s="810"/>
      <c r="R3" s="810"/>
      <c r="S3" s="810"/>
      <c r="T3" s="811"/>
      <c r="U3" s="117" t="s">
        <v>219</v>
      </c>
    </row>
    <row r="4" spans="1:22" ht="14.25" customHeight="1">
      <c r="A4" s="719"/>
      <c r="B4" s="720"/>
      <c r="C4" s="720"/>
      <c r="D4" s="720"/>
      <c r="E4" s="720"/>
      <c r="F4" s="720"/>
      <c r="G4" s="720"/>
      <c r="H4" s="720"/>
      <c r="I4" s="720"/>
      <c r="J4" s="721"/>
      <c r="K4" s="724" t="s">
        <v>445</v>
      </c>
      <c r="L4" s="725"/>
      <c r="M4" s="696"/>
      <c r="N4" s="696"/>
      <c r="O4" s="696"/>
      <c r="P4" s="812"/>
      <c r="Q4" s="810"/>
      <c r="R4" s="810"/>
      <c r="S4" s="810"/>
      <c r="T4" s="811"/>
      <c r="U4" s="117" t="s">
        <v>219</v>
      </c>
    </row>
    <row r="5" spans="1:22" ht="14.25" customHeight="1">
      <c r="A5" s="713">
        <v>1</v>
      </c>
      <c r="B5" s="714"/>
      <c r="C5" s="714"/>
      <c r="D5" s="714"/>
      <c r="E5" s="714"/>
      <c r="F5" s="714"/>
      <c r="G5" s="714"/>
      <c r="H5" s="714"/>
      <c r="I5" s="714"/>
      <c r="J5" s="715"/>
      <c r="K5" s="726">
        <v>1</v>
      </c>
      <c r="L5" s="727"/>
      <c r="M5" s="696"/>
      <c r="N5" s="696"/>
      <c r="O5" s="696"/>
      <c r="P5" s="812"/>
      <c r="Q5" s="810"/>
      <c r="R5" s="810"/>
      <c r="S5" s="810"/>
      <c r="T5" s="811"/>
      <c r="U5" s="117" t="s">
        <v>219</v>
      </c>
    </row>
    <row r="6" spans="1:22" ht="13.5" customHeight="1">
      <c r="A6" s="713"/>
      <c r="B6" s="714"/>
      <c r="C6" s="714"/>
      <c r="D6" s="714"/>
      <c r="E6" s="714"/>
      <c r="F6" s="714"/>
      <c r="G6" s="714"/>
      <c r="H6" s="714"/>
      <c r="I6" s="714"/>
      <c r="J6" s="715"/>
      <c r="K6" s="728" t="s">
        <v>98</v>
      </c>
      <c r="L6" s="729"/>
      <c r="M6" s="697"/>
      <c r="N6" s="696"/>
      <c r="O6" s="696"/>
      <c r="P6" s="812"/>
      <c r="Q6" s="810"/>
      <c r="R6" s="810"/>
      <c r="S6" s="810"/>
      <c r="T6" s="811"/>
      <c r="U6" s="117" t="s">
        <v>219</v>
      </c>
    </row>
    <row r="7" spans="1:22" ht="13.5" customHeight="1">
      <c r="A7" s="540" t="s">
        <v>867</v>
      </c>
      <c r="B7" s="178"/>
      <c r="C7" s="542"/>
      <c r="D7" s="543">
        <v>43410</v>
      </c>
      <c r="E7" s="178" t="s">
        <v>869</v>
      </c>
      <c r="F7" s="178"/>
      <c r="G7" s="178"/>
      <c r="H7" s="178"/>
      <c r="I7" s="178"/>
      <c r="J7" s="541"/>
      <c r="K7" s="705">
        <v>0.03</v>
      </c>
      <c r="L7" s="706"/>
      <c r="M7" s="697"/>
      <c r="N7" s="696"/>
      <c r="O7" s="696"/>
      <c r="P7" s="812"/>
      <c r="Q7" s="810"/>
      <c r="R7" s="810"/>
      <c r="S7" s="810"/>
      <c r="T7" s="811"/>
      <c r="U7" s="117" t="s">
        <v>219</v>
      </c>
    </row>
    <row r="8" spans="1:22" s="2" customFormat="1" ht="14.25" customHeight="1">
      <c r="A8" s="179" t="s">
        <v>200</v>
      </c>
      <c r="B8" s="180"/>
      <c r="C8" s="180"/>
      <c r="D8" s="181"/>
      <c r="E8" s="182" t="s">
        <v>462</v>
      </c>
      <c r="F8" s="181"/>
      <c r="G8" s="181"/>
      <c r="H8" s="738" t="s">
        <v>514</v>
      </c>
      <c r="I8" s="738"/>
      <c r="J8" s="739"/>
      <c r="K8" s="730">
        <v>43343</v>
      </c>
      <c r="L8" s="731"/>
      <c r="M8" s="697"/>
      <c r="N8" s="696"/>
      <c r="O8" s="696"/>
      <c r="P8" s="812"/>
      <c r="Q8" s="810"/>
      <c r="R8" s="810"/>
      <c r="S8" s="810"/>
      <c r="T8" s="811"/>
      <c r="U8" s="117" t="s">
        <v>219</v>
      </c>
    </row>
    <row r="9" spans="1:22" s="2" customFormat="1" ht="14.25" customHeight="1">
      <c r="A9" s="709" t="s">
        <v>1</v>
      </c>
      <c r="B9" s="710"/>
      <c r="C9" s="710"/>
      <c r="D9" s="710"/>
      <c r="E9" s="704"/>
      <c r="F9" s="704"/>
      <c r="G9" s="704"/>
      <c r="H9" s="740"/>
      <c r="I9" s="740"/>
      <c r="J9" s="741"/>
      <c r="K9" s="732"/>
      <c r="L9" s="733"/>
      <c r="M9" s="698"/>
      <c r="N9" s="699"/>
      <c r="O9" s="699"/>
      <c r="P9" s="812"/>
      <c r="Q9" s="810"/>
      <c r="R9" s="810"/>
      <c r="S9" s="810"/>
      <c r="T9" s="811"/>
      <c r="U9" s="117" t="s">
        <v>219</v>
      </c>
    </row>
    <row r="10" spans="1:22" s="2" customFormat="1" ht="14.25" customHeight="1">
      <c r="A10" s="183" t="s">
        <v>205</v>
      </c>
      <c r="B10" s="144"/>
      <c r="C10" s="144"/>
      <c r="D10" s="145"/>
      <c r="E10" s="182" t="s">
        <v>463</v>
      </c>
      <c r="F10" s="181"/>
      <c r="G10" s="181"/>
      <c r="H10" s="738" t="s">
        <v>515</v>
      </c>
      <c r="I10" s="738"/>
      <c r="J10" s="739"/>
      <c r="K10" s="734">
        <f>EDATE(K8,12)-1</f>
        <v>43707</v>
      </c>
      <c r="L10" s="735"/>
      <c r="M10" s="747" t="s">
        <v>562</v>
      </c>
      <c r="N10" s="748"/>
      <c r="O10" s="748"/>
      <c r="P10" s="812"/>
      <c r="Q10" s="810"/>
      <c r="R10" s="810"/>
      <c r="S10" s="810"/>
      <c r="T10" s="811"/>
      <c r="U10" s="117" t="s">
        <v>219</v>
      </c>
    </row>
    <row r="11" spans="1:22" s="2" customFormat="1" ht="14.25" customHeight="1">
      <c r="A11" s="711" t="str">
        <f>B15</f>
        <v>Professor McCormick</v>
      </c>
      <c r="B11" s="712"/>
      <c r="C11" s="712"/>
      <c r="D11" s="712"/>
      <c r="E11" s="704"/>
      <c r="F11" s="704"/>
      <c r="G11" s="704"/>
      <c r="H11" s="740"/>
      <c r="I11" s="740"/>
      <c r="J11" s="741"/>
      <c r="K11" s="736"/>
      <c r="L11" s="737"/>
      <c r="M11" s="749"/>
      <c r="N11" s="750"/>
      <c r="O11" s="750"/>
      <c r="P11" s="812"/>
      <c r="Q11" s="810"/>
      <c r="R11" s="810"/>
      <c r="S11" s="810"/>
      <c r="T11" s="811"/>
      <c r="U11" s="117" t="s">
        <v>219</v>
      </c>
    </row>
    <row r="12" spans="1:22" s="2" customFormat="1" ht="14.25" customHeight="1">
      <c r="A12" s="179" t="s">
        <v>202</v>
      </c>
      <c r="B12" s="330"/>
      <c r="C12" s="164"/>
      <c r="D12" s="158"/>
      <c r="E12" s="158"/>
      <c r="F12" s="331"/>
      <c r="G12" s="689" t="s">
        <v>902</v>
      </c>
      <c r="H12" s="692" t="s">
        <v>516</v>
      </c>
      <c r="I12" s="693"/>
      <c r="J12" s="694"/>
      <c r="K12" s="700" t="s">
        <v>35</v>
      </c>
      <c r="L12" s="701"/>
      <c r="M12" s="378" t="s">
        <v>286</v>
      </c>
      <c r="N12" s="700" t="s">
        <v>35</v>
      </c>
      <c r="O12" s="745"/>
      <c r="P12" s="812"/>
      <c r="Q12" s="810"/>
      <c r="R12" s="810"/>
      <c r="S12" s="810"/>
      <c r="T12" s="811"/>
      <c r="U12" s="117" t="s">
        <v>219</v>
      </c>
    </row>
    <row r="13" spans="1:22" s="2" customFormat="1" ht="14.25" customHeight="1">
      <c r="A13" s="143"/>
      <c r="B13" s="144"/>
      <c r="C13" s="144"/>
      <c r="D13" s="157"/>
      <c r="E13" s="157"/>
      <c r="F13" s="332"/>
      <c r="G13" s="690"/>
      <c r="H13" s="789" t="s">
        <v>285</v>
      </c>
      <c r="I13" s="790"/>
      <c r="J13" s="791"/>
      <c r="K13" s="702"/>
      <c r="L13" s="703"/>
      <c r="M13" s="377" t="s">
        <v>287</v>
      </c>
      <c r="N13" s="702"/>
      <c r="O13" s="746"/>
      <c r="P13" s="813"/>
      <c r="Q13" s="814"/>
      <c r="R13" s="814"/>
      <c r="S13" s="814"/>
      <c r="T13" s="815"/>
      <c r="U13" s="117" t="s">
        <v>219</v>
      </c>
    </row>
    <row r="14" spans="1:22" s="2" customFormat="1" ht="14.25" customHeight="1">
      <c r="A14" s="154"/>
      <c r="B14" s="155"/>
      <c r="C14" s="155"/>
      <c r="D14" s="153"/>
      <c r="E14" s="746" t="s">
        <v>323</v>
      </c>
      <c r="F14" s="703"/>
      <c r="G14" s="691"/>
      <c r="H14" s="173" t="s">
        <v>2</v>
      </c>
      <c r="I14" s="174" t="s">
        <v>198</v>
      </c>
      <c r="J14" s="174" t="s">
        <v>199</v>
      </c>
      <c r="K14" s="170" t="s">
        <v>33</v>
      </c>
      <c r="L14" s="171" t="s">
        <v>34</v>
      </c>
      <c r="M14" s="236" t="s">
        <v>288</v>
      </c>
      <c r="N14" s="170" t="s">
        <v>33</v>
      </c>
      <c r="O14" s="171" t="s">
        <v>34</v>
      </c>
      <c r="P14" s="195" t="s">
        <v>109</v>
      </c>
      <c r="Q14" s="800" t="s">
        <v>153</v>
      </c>
      <c r="R14" s="801"/>
      <c r="S14" s="195" t="s">
        <v>862</v>
      </c>
      <c r="T14" s="206" t="s">
        <v>230</v>
      </c>
      <c r="U14" s="117" t="s">
        <v>219</v>
      </c>
    </row>
    <row r="15" spans="1:22" s="2" customFormat="1" ht="14.25" customHeight="1">
      <c r="A15" s="335">
        <v>1</v>
      </c>
      <c r="B15" s="751" t="s">
        <v>901</v>
      </c>
      <c r="C15" s="751"/>
      <c r="D15" s="751"/>
      <c r="E15" s="336" t="str">
        <f>IF(AND(H15&gt;0,I15+J15&gt;0),"Wrong",IF(AND(G15=10,I15+J15&gt;0),"Wrong",IF(AND(G15=11,I15+J15&gt;0),"Wrong",IF(AND(G15=12,I15+J15&gt;0),"Wrong",IF(AND(G15=9,H15&gt;0),"Wrong",IF(H15&gt;12,"Wrong",IF(I15&gt;9,"Wrong",IF(J15&gt;3,"Wrong",IF(I15+J15&gt;12,"Wrong",IF(H15&gt;G15,"Wrong","OK"))))))))))</f>
        <v>OK</v>
      </c>
      <c r="F15" s="329" t="str">
        <f t="shared" ref="F15:F29" si="0">IF(OR(E15="Wrong",SUM(H15:J15)+M15&gt;G15),"Warning!","")</f>
        <v/>
      </c>
      <c r="G15" s="230">
        <v>9</v>
      </c>
      <c r="H15" s="196"/>
      <c r="I15" s="197"/>
      <c r="J15" s="197"/>
      <c r="K15" s="140">
        <f>IFERROR(IF(S15&gt;0,S15/G15*(SUM(H15:J15)),P15/G15*(SUM(H15:J15))),)</f>
        <v>0</v>
      </c>
      <c r="L15" s="141">
        <f>K15*LOOKUP($K$8,Lists!$A$2:$A$812,IF($K$2="Non-Federal",Lists!$D$2:$D$812,Lists!$C$2:$C$812))</f>
        <v>0</v>
      </c>
      <c r="M15" s="234"/>
      <c r="N15" s="140">
        <f>IFERROR(IF(S15&gt;0,S15/G15*(SUM(M15)),P15/G15*(SUM(M15))),)</f>
        <v>0</v>
      </c>
      <c r="O15" s="141">
        <f>N15*LOOKUP($K$8,Lists!$A$2:$A$812,IF($K$2="Non-Federal",Lists!$D$2:$D$812,Lists!$C$2:$C$812))</f>
        <v>0</v>
      </c>
      <c r="P15" s="205"/>
      <c r="Q15" s="684"/>
      <c r="R15" s="685"/>
      <c r="S15" s="205">
        <f>IF(COUNTIF(NIH,$E$9)&gt;0,(IF(G15&gt;0,IF((P15/G15)*12&gt;NIHSalCap,(NIHSalCap/12)*G15,),)),)</f>
        <v>0</v>
      </c>
      <c r="T15" s="207" t="s">
        <v>231</v>
      </c>
      <c r="U15" s="117" t="s">
        <v>219</v>
      </c>
    </row>
    <row r="16" spans="1:22" s="2" customFormat="1" ht="14.25" customHeight="1">
      <c r="A16" s="184">
        <v>2</v>
      </c>
      <c r="B16" s="681"/>
      <c r="C16" s="681"/>
      <c r="D16" s="681"/>
      <c r="E16" s="336" t="str">
        <f t="shared" ref="E16:E29" si="1">IF(AND(H16&gt;0,I16+J16&gt;0),"Wrong",IF(AND(G16=10,I16+J16&gt;0),"Wrong",IF(AND(G16=11,I16+J16&gt;0),"Wrong",IF(AND(G16=12,I16+J16&gt;0),"Wrong",IF(AND(G16=9,H16&gt;0),"Wrong",IF(H16&gt;12,"Wrong",IF(I16&gt;9,"Wrong",IF(J16&gt;3,"Wrong",IF(I16+J16&gt;12,"Wrong",IF(H16&gt;G16,"Wrong","OK"))))))))))</f>
        <v>OK</v>
      </c>
      <c r="F16" s="329" t="str">
        <f t="shared" si="0"/>
        <v/>
      </c>
      <c r="G16" s="230"/>
      <c r="H16" s="198"/>
      <c r="I16" s="197"/>
      <c r="J16" s="197"/>
      <c r="K16" s="140">
        <f t="shared" ref="K16:K29" si="2">IFERROR(IF(S16&gt;0,S16/G16*(SUM(H16:J16)),P16/G16*(SUM(H16:J16))),)</f>
        <v>0</v>
      </c>
      <c r="L16" s="141">
        <f>K16*LOOKUP($K$8,Lists!$A$2:$A$812,IF($K$2="Non-Federal",Lists!$D$2:$D$812,Lists!$C$2:$C$812))</f>
        <v>0</v>
      </c>
      <c r="M16" s="234"/>
      <c r="N16" s="140">
        <f t="shared" ref="N16:N29" si="3">IFERROR(IF(S16&gt;0,S16/G16*(SUM(M16)),P16/G16*(SUM(M16))),)</f>
        <v>0</v>
      </c>
      <c r="O16" s="141">
        <f>N16*LOOKUP($K$8,Lists!$A$2:$A$812,IF($K$2="Non-Federal",Lists!$D$2:$D$812,Lists!$C$2:$C$812))</f>
        <v>0</v>
      </c>
      <c r="P16" s="205"/>
      <c r="Q16" s="684"/>
      <c r="R16" s="685"/>
      <c r="S16" s="205">
        <f t="shared" ref="S16:S29" si="4">IF(COUNTIF(NIH,$E$9)&gt;0,(IF(G16&gt;0,IF((P16/G16)*12&gt;NIHSalCap,(NIHSalCap/12)*G16,),)),)</f>
        <v>0</v>
      </c>
      <c r="T16" s="207" t="s">
        <v>232</v>
      </c>
      <c r="U16" s="117" t="s">
        <v>219</v>
      </c>
    </row>
    <row r="17" spans="1:21" s="2" customFormat="1" ht="14.25" customHeight="1">
      <c r="A17" s="184">
        <v>3</v>
      </c>
      <c r="B17" s="681"/>
      <c r="C17" s="681"/>
      <c r="D17" s="681"/>
      <c r="E17" s="336" t="str">
        <f t="shared" si="1"/>
        <v>OK</v>
      </c>
      <c r="F17" s="329" t="str">
        <f t="shared" si="0"/>
        <v/>
      </c>
      <c r="G17" s="230"/>
      <c r="H17" s="198"/>
      <c r="I17" s="197"/>
      <c r="J17" s="197"/>
      <c r="K17" s="140">
        <f t="shared" si="2"/>
        <v>0</v>
      </c>
      <c r="L17" s="141">
        <f>K17*LOOKUP($K$8,Lists!$A$2:$A$812,IF($K$2="Non-Federal",Lists!$D$2:$D$812,Lists!$C$2:$C$812))</f>
        <v>0</v>
      </c>
      <c r="M17" s="234"/>
      <c r="N17" s="140">
        <f t="shared" si="3"/>
        <v>0</v>
      </c>
      <c r="O17" s="141">
        <f>N17*LOOKUP($K$8,Lists!$A$2:$A$812,IF($K$2="Non-Federal",Lists!$D$2:$D$812,Lists!$C$2:$C$812))</f>
        <v>0</v>
      </c>
      <c r="P17" s="205"/>
      <c r="Q17" s="684"/>
      <c r="R17" s="685"/>
      <c r="S17" s="205">
        <f t="shared" si="4"/>
        <v>0</v>
      </c>
      <c r="T17" s="207" t="s">
        <v>233</v>
      </c>
      <c r="U17" s="117" t="s">
        <v>219</v>
      </c>
    </row>
    <row r="18" spans="1:21" s="2" customFormat="1" ht="14.25" customHeight="1">
      <c r="A18" s="184">
        <v>4</v>
      </c>
      <c r="B18" s="681"/>
      <c r="C18" s="681"/>
      <c r="D18" s="681"/>
      <c r="E18" s="336" t="str">
        <f t="shared" si="1"/>
        <v>OK</v>
      </c>
      <c r="F18" s="329" t="str">
        <f t="shared" si="0"/>
        <v/>
      </c>
      <c r="G18" s="230"/>
      <c r="H18" s="198"/>
      <c r="I18" s="197"/>
      <c r="J18" s="197"/>
      <c r="K18" s="140">
        <f t="shared" si="2"/>
        <v>0</v>
      </c>
      <c r="L18" s="141">
        <f>K18*LOOKUP($K$8,Lists!$A$2:$A$812,IF($K$2="Non-Federal",Lists!$D$2:$D$812,Lists!$C$2:$C$812))</f>
        <v>0</v>
      </c>
      <c r="M18" s="234"/>
      <c r="N18" s="140">
        <f t="shared" si="3"/>
        <v>0</v>
      </c>
      <c r="O18" s="141">
        <f>N18*LOOKUP($K$8,Lists!$A$2:$A$812,IF($K$2="Non-Federal",Lists!$D$2:$D$812,Lists!$C$2:$C$812))</f>
        <v>0</v>
      </c>
      <c r="P18" s="205"/>
      <c r="Q18" s="684"/>
      <c r="R18" s="685"/>
      <c r="S18" s="205">
        <f t="shared" si="4"/>
        <v>0</v>
      </c>
      <c r="T18" s="207" t="s">
        <v>232</v>
      </c>
      <c r="U18" s="117" t="s">
        <v>219</v>
      </c>
    </row>
    <row r="19" spans="1:21" s="2" customFormat="1" ht="15">
      <c r="A19" s="184">
        <v>5</v>
      </c>
      <c r="B19" s="681"/>
      <c r="C19" s="681"/>
      <c r="D19" s="681"/>
      <c r="E19" s="336" t="str">
        <f t="shared" si="1"/>
        <v>OK</v>
      </c>
      <c r="F19" s="329" t="str">
        <f t="shared" si="0"/>
        <v/>
      </c>
      <c r="G19" s="230"/>
      <c r="H19" s="198"/>
      <c r="I19" s="197"/>
      <c r="J19" s="197"/>
      <c r="K19" s="140">
        <f t="shared" si="2"/>
        <v>0</v>
      </c>
      <c r="L19" s="141">
        <f>K19*LOOKUP($K$8,Lists!$A$2:$A$812,IF($K$2="Non-Federal",Lists!$D$2:$D$812,Lists!$C$2:$C$812))</f>
        <v>0</v>
      </c>
      <c r="M19" s="234"/>
      <c r="N19" s="140">
        <f t="shared" si="3"/>
        <v>0</v>
      </c>
      <c r="O19" s="141">
        <f>N19*LOOKUP($K$8,Lists!$A$2:$A$812,IF($K$2="Non-Federal",Lists!$D$2:$D$812,Lists!$C$2:$C$812))</f>
        <v>0</v>
      </c>
      <c r="P19" s="205"/>
      <c r="Q19" s="684"/>
      <c r="R19" s="685"/>
      <c r="S19" s="205">
        <f t="shared" si="4"/>
        <v>0</v>
      </c>
      <c r="T19" s="207" t="s">
        <v>233</v>
      </c>
      <c r="U19" s="117" t="s">
        <v>219</v>
      </c>
    </row>
    <row r="20" spans="1:21" s="2" customFormat="1" ht="15" hidden="1">
      <c r="A20" s="184">
        <v>6</v>
      </c>
      <c r="B20" s="681"/>
      <c r="C20" s="681"/>
      <c r="D20" s="681"/>
      <c r="E20" s="336" t="str">
        <f t="shared" si="1"/>
        <v>OK</v>
      </c>
      <c r="F20" s="329" t="str">
        <f t="shared" si="0"/>
        <v/>
      </c>
      <c r="G20" s="230"/>
      <c r="H20" s="198"/>
      <c r="I20" s="197"/>
      <c r="J20" s="197"/>
      <c r="K20" s="140">
        <f t="shared" si="2"/>
        <v>0</v>
      </c>
      <c r="L20" s="141">
        <f>K20*LOOKUP($K$8,Lists!$A$2:$A$812,IF($K$2="Non-Federal",Lists!$D$2:$D$812,Lists!$C$2:$C$812))</f>
        <v>0</v>
      </c>
      <c r="M20" s="234"/>
      <c r="N20" s="140">
        <f t="shared" si="3"/>
        <v>0</v>
      </c>
      <c r="O20" s="141">
        <f>N20*LOOKUP($K$8,Lists!$A$2:$A$812,IF($K$2="Non-Federal",Lists!$D$2:$D$812,Lists!$C$2:$C$812))</f>
        <v>0</v>
      </c>
      <c r="P20" s="205"/>
      <c r="Q20" s="684"/>
      <c r="R20" s="685"/>
      <c r="S20" s="205">
        <f t="shared" si="4"/>
        <v>0</v>
      </c>
      <c r="T20" s="207" t="s">
        <v>232</v>
      </c>
      <c r="U20" s="117" t="s">
        <v>485</v>
      </c>
    </row>
    <row r="21" spans="1:21" s="2" customFormat="1" ht="15" hidden="1">
      <c r="A21" s="184">
        <v>7</v>
      </c>
      <c r="B21" s="681"/>
      <c r="C21" s="681"/>
      <c r="D21" s="681"/>
      <c r="E21" s="336" t="str">
        <f t="shared" si="1"/>
        <v>OK</v>
      </c>
      <c r="F21" s="329" t="str">
        <f t="shared" si="0"/>
        <v/>
      </c>
      <c r="G21" s="230"/>
      <c r="H21" s="198"/>
      <c r="I21" s="197"/>
      <c r="J21" s="197"/>
      <c r="K21" s="140">
        <f t="shared" si="2"/>
        <v>0</v>
      </c>
      <c r="L21" s="141">
        <f>K21*LOOKUP($K$8,Lists!$A$2:$A$812,IF($K$2="Non-Federal",Lists!$D$2:$D$812,Lists!$C$2:$C$812))</f>
        <v>0</v>
      </c>
      <c r="M21" s="234"/>
      <c r="N21" s="140">
        <f t="shared" si="3"/>
        <v>0</v>
      </c>
      <c r="O21" s="141">
        <f>N21*LOOKUP($K$8,Lists!$A$2:$A$812,IF($K$2="Non-Federal",Lists!$D$2:$D$812,Lists!$C$2:$C$812))</f>
        <v>0</v>
      </c>
      <c r="P21" s="205"/>
      <c r="Q21" s="684"/>
      <c r="R21" s="685"/>
      <c r="S21" s="205">
        <f t="shared" si="4"/>
        <v>0</v>
      </c>
      <c r="T21" s="207" t="s">
        <v>233</v>
      </c>
      <c r="U21" s="117" t="s">
        <v>485</v>
      </c>
    </row>
    <row r="22" spans="1:21" s="2" customFormat="1" ht="15" hidden="1">
      <c r="A22" s="184">
        <v>8</v>
      </c>
      <c r="B22" s="681"/>
      <c r="C22" s="681"/>
      <c r="D22" s="681"/>
      <c r="E22" s="336" t="str">
        <f t="shared" si="1"/>
        <v>OK</v>
      </c>
      <c r="F22" s="329" t="str">
        <f t="shared" si="0"/>
        <v/>
      </c>
      <c r="G22" s="230"/>
      <c r="H22" s="198"/>
      <c r="I22" s="197"/>
      <c r="J22" s="197"/>
      <c r="K22" s="140">
        <f t="shared" si="2"/>
        <v>0</v>
      </c>
      <c r="L22" s="141">
        <f>K22*LOOKUP($K$8,Lists!$A$2:$A$812,IF($K$2="Non-Federal",Lists!$D$2:$D$812,Lists!$C$2:$C$812))</f>
        <v>0</v>
      </c>
      <c r="M22" s="234"/>
      <c r="N22" s="140">
        <f t="shared" si="3"/>
        <v>0</v>
      </c>
      <c r="O22" s="141">
        <f>N22*LOOKUP($K$8,Lists!$A$2:$A$812,IF($K$2="Non-Federal",Lists!$D$2:$D$812,Lists!$C$2:$C$812))</f>
        <v>0</v>
      </c>
      <c r="P22" s="205"/>
      <c r="Q22" s="684"/>
      <c r="R22" s="685"/>
      <c r="S22" s="205">
        <f t="shared" si="4"/>
        <v>0</v>
      </c>
      <c r="T22" s="207" t="s">
        <v>232</v>
      </c>
      <c r="U22" s="117" t="s">
        <v>485</v>
      </c>
    </row>
    <row r="23" spans="1:21" s="2" customFormat="1" ht="15" hidden="1">
      <c r="A23" s="184">
        <v>9</v>
      </c>
      <c r="B23" s="681"/>
      <c r="C23" s="681"/>
      <c r="D23" s="681"/>
      <c r="E23" s="336" t="str">
        <f t="shared" si="1"/>
        <v>OK</v>
      </c>
      <c r="F23" s="329" t="str">
        <f t="shared" si="0"/>
        <v/>
      </c>
      <c r="G23" s="230"/>
      <c r="H23" s="198"/>
      <c r="I23" s="197"/>
      <c r="J23" s="197"/>
      <c r="K23" s="140">
        <f t="shared" si="2"/>
        <v>0</v>
      </c>
      <c r="L23" s="141">
        <f>K23*LOOKUP($K$8,Lists!$A$2:$A$812,IF($K$2="Non-Federal",Lists!$D$2:$D$812,Lists!$C$2:$C$812))</f>
        <v>0</v>
      </c>
      <c r="M23" s="234"/>
      <c r="N23" s="140">
        <f t="shared" si="3"/>
        <v>0</v>
      </c>
      <c r="O23" s="141">
        <f>N23*LOOKUP($K$8,Lists!$A$2:$A$812,IF($K$2="Non-Federal",Lists!$D$2:$D$812,Lists!$C$2:$C$812))</f>
        <v>0</v>
      </c>
      <c r="P23" s="205"/>
      <c r="Q23" s="684"/>
      <c r="R23" s="685"/>
      <c r="S23" s="205">
        <f t="shared" si="4"/>
        <v>0</v>
      </c>
      <c r="T23" s="207" t="s">
        <v>233</v>
      </c>
      <c r="U23" s="117" t="s">
        <v>485</v>
      </c>
    </row>
    <row r="24" spans="1:21" s="2" customFormat="1" ht="15" hidden="1">
      <c r="A24" s="184">
        <v>10</v>
      </c>
      <c r="B24" s="681"/>
      <c r="C24" s="681"/>
      <c r="D24" s="681"/>
      <c r="E24" s="336" t="str">
        <f t="shared" si="1"/>
        <v>OK</v>
      </c>
      <c r="F24" s="329" t="str">
        <f t="shared" si="0"/>
        <v/>
      </c>
      <c r="G24" s="230"/>
      <c r="H24" s="198"/>
      <c r="I24" s="197"/>
      <c r="J24" s="197"/>
      <c r="K24" s="140">
        <f t="shared" si="2"/>
        <v>0</v>
      </c>
      <c r="L24" s="141">
        <f>K24*LOOKUP($K$8,Lists!$A$2:$A$812,IF($K$2="Non-Federal",Lists!$D$2:$D$812,Lists!$C$2:$C$812))</f>
        <v>0</v>
      </c>
      <c r="M24" s="234"/>
      <c r="N24" s="140">
        <f t="shared" si="3"/>
        <v>0</v>
      </c>
      <c r="O24" s="141">
        <f>N24*LOOKUP($K$8,Lists!$A$2:$A$812,IF($K$2="Non-Federal",Lists!$D$2:$D$812,Lists!$C$2:$C$812))</f>
        <v>0</v>
      </c>
      <c r="P24" s="205"/>
      <c r="Q24" s="684"/>
      <c r="R24" s="685"/>
      <c r="S24" s="205">
        <f t="shared" si="4"/>
        <v>0</v>
      </c>
      <c r="T24" s="207" t="s">
        <v>232</v>
      </c>
      <c r="U24" s="117" t="s">
        <v>485</v>
      </c>
    </row>
    <row r="25" spans="1:21" s="2" customFormat="1" ht="15" hidden="1">
      <c r="A25" s="184">
        <v>11</v>
      </c>
      <c r="B25" s="681"/>
      <c r="C25" s="681"/>
      <c r="D25" s="681"/>
      <c r="E25" s="336" t="str">
        <f t="shared" si="1"/>
        <v>OK</v>
      </c>
      <c r="F25" s="329" t="str">
        <f t="shared" si="0"/>
        <v/>
      </c>
      <c r="G25" s="230"/>
      <c r="H25" s="198"/>
      <c r="I25" s="197"/>
      <c r="J25" s="197"/>
      <c r="K25" s="140">
        <f t="shared" si="2"/>
        <v>0</v>
      </c>
      <c r="L25" s="141">
        <f>K25*LOOKUP($K$8,Lists!$A$2:$A$812,IF($K$2="Non-Federal",Lists!$D$2:$D$812,Lists!$C$2:$C$812))</f>
        <v>0</v>
      </c>
      <c r="M25" s="234"/>
      <c r="N25" s="140">
        <f t="shared" si="3"/>
        <v>0</v>
      </c>
      <c r="O25" s="141">
        <f>N25*LOOKUP($K$8,Lists!$A$2:$A$812,IF($K$2="Non-Federal",Lists!$D$2:$D$812,Lists!$C$2:$C$812))</f>
        <v>0</v>
      </c>
      <c r="P25" s="205"/>
      <c r="Q25" s="684"/>
      <c r="R25" s="685"/>
      <c r="S25" s="205">
        <f t="shared" si="4"/>
        <v>0</v>
      </c>
      <c r="T25" s="207" t="s">
        <v>233</v>
      </c>
      <c r="U25" s="117" t="s">
        <v>486</v>
      </c>
    </row>
    <row r="26" spans="1:21" s="2" customFormat="1" ht="15" hidden="1">
      <c r="A26" s="184">
        <v>12</v>
      </c>
      <c r="B26" s="681"/>
      <c r="C26" s="681"/>
      <c r="D26" s="681"/>
      <c r="E26" s="336" t="str">
        <f t="shared" si="1"/>
        <v>OK</v>
      </c>
      <c r="F26" s="329" t="str">
        <f t="shared" si="0"/>
        <v/>
      </c>
      <c r="G26" s="230"/>
      <c r="H26" s="198"/>
      <c r="I26" s="197"/>
      <c r="J26" s="197"/>
      <c r="K26" s="140">
        <f t="shared" si="2"/>
        <v>0</v>
      </c>
      <c r="L26" s="141">
        <f>K26*LOOKUP($K$8,Lists!$A$2:$A$812,IF($K$2="Non-Federal",Lists!$D$2:$D$812,Lists!$C$2:$C$812))</f>
        <v>0</v>
      </c>
      <c r="M26" s="234"/>
      <c r="N26" s="140">
        <f t="shared" si="3"/>
        <v>0</v>
      </c>
      <c r="O26" s="141">
        <f>N26*LOOKUP($K$8,Lists!$A$2:$A$812,IF($K$2="Non-Federal",Lists!$D$2:$D$812,Lists!$C$2:$C$812))</f>
        <v>0</v>
      </c>
      <c r="P26" s="205"/>
      <c r="Q26" s="684"/>
      <c r="R26" s="685"/>
      <c r="S26" s="205">
        <f t="shared" si="4"/>
        <v>0</v>
      </c>
      <c r="T26" s="207" t="s">
        <v>232</v>
      </c>
      <c r="U26" s="117" t="s">
        <v>486</v>
      </c>
    </row>
    <row r="27" spans="1:21" s="2" customFormat="1" ht="15" hidden="1">
      <c r="A27" s="184">
        <v>13</v>
      </c>
      <c r="B27" s="681"/>
      <c r="C27" s="681"/>
      <c r="D27" s="681"/>
      <c r="E27" s="336" t="str">
        <f t="shared" si="1"/>
        <v>OK</v>
      </c>
      <c r="F27" s="329" t="str">
        <f t="shared" si="0"/>
        <v/>
      </c>
      <c r="G27" s="230"/>
      <c r="H27" s="198"/>
      <c r="I27" s="197"/>
      <c r="J27" s="197"/>
      <c r="K27" s="140">
        <f t="shared" si="2"/>
        <v>0</v>
      </c>
      <c r="L27" s="141">
        <f>K27*LOOKUP($K$8,Lists!$A$2:$A$812,IF($K$2="Non-Federal",Lists!$D$2:$D$812,Lists!$C$2:$C$812))</f>
        <v>0</v>
      </c>
      <c r="M27" s="234"/>
      <c r="N27" s="140">
        <f t="shared" si="3"/>
        <v>0</v>
      </c>
      <c r="O27" s="141">
        <f>N27*LOOKUP($K$8,Lists!$A$2:$A$812,IF($K$2="Non-Federal",Lists!$D$2:$D$812,Lists!$C$2:$C$812))</f>
        <v>0</v>
      </c>
      <c r="P27" s="205"/>
      <c r="Q27" s="684"/>
      <c r="R27" s="685"/>
      <c r="S27" s="205">
        <f t="shared" si="4"/>
        <v>0</v>
      </c>
      <c r="T27" s="207" t="s">
        <v>233</v>
      </c>
      <c r="U27" s="117" t="s">
        <v>486</v>
      </c>
    </row>
    <row r="28" spans="1:21" s="2" customFormat="1" ht="15" hidden="1">
      <c r="A28" s="184">
        <v>14</v>
      </c>
      <c r="B28" s="681"/>
      <c r="C28" s="681"/>
      <c r="D28" s="681"/>
      <c r="E28" s="336" t="str">
        <f t="shared" si="1"/>
        <v>OK</v>
      </c>
      <c r="F28" s="329" t="str">
        <f t="shared" si="0"/>
        <v/>
      </c>
      <c r="G28" s="230"/>
      <c r="H28" s="198"/>
      <c r="I28" s="197"/>
      <c r="J28" s="197"/>
      <c r="K28" s="140">
        <f t="shared" si="2"/>
        <v>0</v>
      </c>
      <c r="L28" s="141">
        <f>K28*LOOKUP($K$8,Lists!$A$2:$A$812,IF($K$2="Non-Federal",Lists!$D$2:$D$812,Lists!$C$2:$C$812))</f>
        <v>0</v>
      </c>
      <c r="M28" s="234"/>
      <c r="N28" s="140">
        <f t="shared" si="3"/>
        <v>0</v>
      </c>
      <c r="O28" s="141">
        <f>N28*LOOKUP($K$8,Lists!$A$2:$A$812,IF($K$2="Non-Federal",Lists!$D$2:$D$812,Lists!$C$2:$C$812))</f>
        <v>0</v>
      </c>
      <c r="P28" s="205"/>
      <c r="Q28" s="684"/>
      <c r="R28" s="685"/>
      <c r="S28" s="205">
        <f t="shared" si="4"/>
        <v>0</v>
      </c>
      <c r="T28" s="207" t="s">
        <v>232</v>
      </c>
      <c r="U28" s="117" t="s">
        <v>486</v>
      </c>
    </row>
    <row r="29" spans="1:21" s="2" customFormat="1" ht="15" hidden="1">
      <c r="A29" s="184">
        <v>15</v>
      </c>
      <c r="B29" s="681"/>
      <c r="C29" s="681"/>
      <c r="D29" s="681"/>
      <c r="E29" s="336" t="str">
        <f t="shared" si="1"/>
        <v>OK</v>
      </c>
      <c r="F29" s="329" t="str">
        <f t="shared" si="0"/>
        <v/>
      </c>
      <c r="G29" s="230"/>
      <c r="H29" s="198"/>
      <c r="I29" s="197"/>
      <c r="J29" s="197"/>
      <c r="K29" s="140">
        <f t="shared" si="2"/>
        <v>0</v>
      </c>
      <c r="L29" s="141">
        <f>K29*LOOKUP($K$8,Lists!$A$2:$A$812,IF($K$2="Non-Federal",Lists!$D$2:$D$812,Lists!$C$2:$C$812))</f>
        <v>0</v>
      </c>
      <c r="M29" s="234"/>
      <c r="N29" s="140">
        <f t="shared" si="3"/>
        <v>0</v>
      </c>
      <c r="O29" s="141">
        <f>N29*LOOKUP($K$8,Lists!$A$2:$A$812,IF($K$2="Non-Federal",Lists!$D$2:$D$812,Lists!$C$2:$C$812))</f>
        <v>0</v>
      </c>
      <c r="P29" s="205"/>
      <c r="Q29" s="684"/>
      <c r="R29" s="685"/>
      <c r="S29" s="205">
        <f t="shared" si="4"/>
        <v>0</v>
      </c>
      <c r="T29" s="207" t="s">
        <v>233</v>
      </c>
      <c r="U29" s="117" t="s">
        <v>486</v>
      </c>
    </row>
    <row r="30" spans="1:21" s="2" customFormat="1" ht="15">
      <c r="A30" s="742" t="s">
        <v>203</v>
      </c>
      <c r="B30" s="743"/>
      <c r="C30" s="743"/>
      <c r="D30" s="743"/>
      <c r="E30" s="743"/>
      <c r="F30" s="744"/>
      <c r="G30" s="17"/>
      <c r="H30" s="219">
        <f t="shared" ref="H30:O30" si="5">SUM(H15:H29)</f>
        <v>0</v>
      </c>
      <c r="I30" s="220">
        <f t="shared" si="5"/>
        <v>0</v>
      </c>
      <c r="J30" s="220">
        <f t="shared" si="5"/>
        <v>0</v>
      </c>
      <c r="K30" s="142">
        <f t="shared" si="5"/>
        <v>0</v>
      </c>
      <c r="L30" s="141">
        <f t="shared" si="5"/>
        <v>0</v>
      </c>
      <c r="M30" s="234">
        <f t="shared" si="5"/>
        <v>0</v>
      </c>
      <c r="N30" s="142">
        <f t="shared" si="5"/>
        <v>0</v>
      </c>
      <c r="O30" s="141">
        <f t="shared" si="5"/>
        <v>0</v>
      </c>
      <c r="P30" s="175"/>
      <c r="Q30" s="324"/>
      <c r="R30" s="107"/>
      <c r="S30" s="107"/>
      <c r="T30" s="176"/>
      <c r="U30" s="117" t="s">
        <v>219</v>
      </c>
    </row>
    <row r="31" spans="1:21" s="2" customFormat="1" ht="14.25" customHeight="1">
      <c r="A31" s="185" t="s">
        <v>204</v>
      </c>
      <c r="B31" s="164"/>
      <c r="C31" s="164"/>
      <c r="D31" s="158"/>
      <c r="E31" s="158"/>
      <c r="F31" s="158"/>
      <c r="G31" s="18"/>
      <c r="H31" s="15"/>
      <c r="I31" s="16"/>
      <c r="J31" s="16"/>
      <c r="K31" s="26"/>
      <c r="L31" s="357"/>
      <c r="M31" s="358"/>
      <c r="N31" s="26"/>
      <c r="O31" s="27"/>
      <c r="P31" s="195" t="s">
        <v>109</v>
      </c>
      <c r="Q31" s="802" t="s">
        <v>154</v>
      </c>
      <c r="R31" s="802"/>
      <c r="S31" s="802"/>
      <c r="T31" s="370" t="s">
        <v>230</v>
      </c>
      <c r="U31" s="117" t="s">
        <v>219</v>
      </c>
    </row>
    <row r="32" spans="1:21" s="2" customFormat="1" ht="14.25" customHeight="1">
      <c r="A32" s="185" t="s">
        <v>3</v>
      </c>
      <c r="B32" s="381"/>
      <c r="C32" s="180" t="s">
        <v>457</v>
      </c>
      <c r="D32" s="182" t="str">
        <f>"Postdoctoral Associate"&amp;IF(B32&gt;1,"s",)</f>
        <v>Postdoctoral Associate</v>
      </c>
      <c r="E32" s="182"/>
      <c r="F32" s="182"/>
      <c r="G32" s="436">
        <v>12</v>
      </c>
      <c r="H32" s="198">
        <f t="shared" ref="H32:H40" si="6">IF(B32&gt;0,12*B32-M32,0)</f>
        <v>0</v>
      </c>
      <c r="I32" s="199"/>
      <c r="J32" s="199"/>
      <c r="K32" s="140">
        <f t="shared" ref="K32:K40" si="7">IFERROR(P32/12*H32,)</f>
        <v>0</v>
      </c>
      <c r="L32" s="141">
        <f>K32*LOOKUP($K$8,Lists!$A$2:$A$812,IF($K$2="Non-Federal",Lists!$D$2:$D$812,Lists!$C$2:$C$812))</f>
        <v>0</v>
      </c>
      <c r="M32" s="234"/>
      <c r="N32" s="140">
        <f>IFERROR(P32/12*M32,)</f>
        <v>0</v>
      </c>
      <c r="O32" s="141">
        <f>N32*LOOKUP($K$8,Lists!$A$2:$A$812,IF($K$2="Non-Federal",Lists!$D$2:$D$812,Lists!$C$2:$C$812))</f>
        <v>0</v>
      </c>
      <c r="P32" s="205">
        <v>47476</v>
      </c>
      <c r="Q32" s="675"/>
      <c r="R32" s="675"/>
      <c r="S32" s="675"/>
      <c r="T32" s="371" t="s">
        <v>235</v>
      </c>
      <c r="U32" s="117" t="s">
        <v>219</v>
      </c>
    </row>
    <row r="33" spans="1:21" s="2" customFormat="1" ht="14.25" customHeight="1">
      <c r="A33" s="185" t="s">
        <v>488</v>
      </c>
      <c r="B33" s="382"/>
      <c r="C33" s="180" t="s">
        <v>457</v>
      </c>
      <c r="D33" s="182" t="str">
        <f>"Other Professional"&amp;IF(B33&gt;1,"s",)</f>
        <v>Other Professional</v>
      </c>
      <c r="E33" s="182"/>
      <c r="F33" s="182"/>
      <c r="G33" s="436">
        <v>12</v>
      </c>
      <c r="H33" s="198">
        <f t="shared" si="6"/>
        <v>0</v>
      </c>
      <c r="I33" s="199"/>
      <c r="J33" s="199"/>
      <c r="K33" s="140">
        <f t="shared" si="7"/>
        <v>0</v>
      </c>
      <c r="L33" s="141">
        <f>K33*LOOKUP($K$8,Lists!$A$2:$A$812,IF($K$2="Non-Federal",Lists!$D$2:$D$812,Lists!$C$2:$C$812))</f>
        <v>0</v>
      </c>
      <c r="M33" s="234"/>
      <c r="N33" s="140">
        <f t="shared" ref="N33:N40" si="8">IFERROR(P33/12*M33,)</f>
        <v>0</v>
      </c>
      <c r="O33" s="141">
        <f>N33*LOOKUP($K$8,Lists!$A$2:$A$812,IF($K$2="Non-Federal",Lists!$D$2:$D$812,Lists!$C$2:$C$812))</f>
        <v>0</v>
      </c>
      <c r="P33" s="205"/>
      <c r="Q33" s="675"/>
      <c r="R33" s="675"/>
      <c r="S33" s="675"/>
      <c r="T33" s="371" t="s">
        <v>234</v>
      </c>
      <c r="U33" s="117" t="s">
        <v>219</v>
      </c>
    </row>
    <row r="34" spans="1:21" s="2" customFormat="1" ht="14.25" hidden="1" customHeight="1">
      <c r="A34" s="185" t="s">
        <v>489</v>
      </c>
      <c r="B34" s="382"/>
      <c r="C34" s="180" t="s">
        <v>457</v>
      </c>
      <c r="D34" s="182" t="str">
        <f>"Other Professional"&amp;IF(B34&gt;1,"s",)</f>
        <v>Other Professional</v>
      </c>
      <c r="E34" s="182"/>
      <c r="F34" s="182"/>
      <c r="G34" s="436">
        <v>12</v>
      </c>
      <c r="H34" s="198">
        <f t="shared" si="6"/>
        <v>0</v>
      </c>
      <c r="I34" s="199"/>
      <c r="J34" s="199"/>
      <c r="K34" s="140">
        <f t="shared" si="7"/>
        <v>0</v>
      </c>
      <c r="L34" s="141">
        <f>K34*LOOKUP($K$8,Lists!$A$2:$A$812,IF($K$2="Non-Federal",Lists!$D$2:$D$812,Lists!$C$2:$C$812))</f>
        <v>0</v>
      </c>
      <c r="M34" s="234"/>
      <c r="N34" s="140">
        <f t="shared" si="8"/>
        <v>0</v>
      </c>
      <c r="O34" s="141">
        <f>N34*LOOKUP($K$8,Lists!$A$2:$A$812,IF($K$2="Non-Federal",Lists!$D$2:$D$812,Lists!$C$2:$C$812))</f>
        <v>0</v>
      </c>
      <c r="P34" s="205"/>
      <c r="Q34" s="675"/>
      <c r="R34" s="675"/>
      <c r="S34" s="675"/>
      <c r="T34" s="371"/>
      <c r="U34" s="117" t="s">
        <v>493</v>
      </c>
    </row>
    <row r="35" spans="1:21" s="2" customFormat="1" ht="14.25" hidden="1" customHeight="1">
      <c r="A35" s="185" t="s">
        <v>490</v>
      </c>
      <c r="B35" s="382"/>
      <c r="C35" s="180" t="s">
        <v>457</v>
      </c>
      <c r="D35" s="182" t="str">
        <f>"Other Professional"&amp;IF(B35&gt;1,"s",)</f>
        <v>Other Professional</v>
      </c>
      <c r="E35" s="182"/>
      <c r="F35" s="182"/>
      <c r="G35" s="436">
        <v>12</v>
      </c>
      <c r="H35" s="198">
        <f t="shared" si="6"/>
        <v>0</v>
      </c>
      <c r="I35" s="199"/>
      <c r="J35" s="199"/>
      <c r="K35" s="140">
        <f t="shared" si="7"/>
        <v>0</v>
      </c>
      <c r="L35" s="141">
        <f>K35*LOOKUP($K$8,Lists!$A$2:$A$812,IF($K$2="Non-Federal",Lists!$D$2:$D$812,Lists!$C$2:$C$812))</f>
        <v>0</v>
      </c>
      <c r="M35" s="234"/>
      <c r="N35" s="140">
        <f t="shared" si="8"/>
        <v>0</v>
      </c>
      <c r="O35" s="141">
        <f>N35*LOOKUP($K$8,Lists!$A$2:$A$812,IF($K$2="Non-Federal",Lists!$D$2:$D$812,Lists!$C$2:$C$812))</f>
        <v>0</v>
      </c>
      <c r="P35" s="205"/>
      <c r="Q35" s="675"/>
      <c r="R35" s="675"/>
      <c r="S35" s="675"/>
      <c r="T35" s="371"/>
      <c r="U35" s="117" t="s">
        <v>493</v>
      </c>
    </row>
    <row r="36" spans="1:21" s="2" customFormat="1" ht="14.25" hidden="1" customHeight="1">
      <c r="A36" s="185" t="s">
        <v>491</v>
      </c>
      <c r="B36" s="382"/>
      <c r="C36" s="180" t="s">
        <v>457</v>
      </c>
      <c r="D36" s="182" t="str">
        <f>"Other Professional"&amp;IF(B36&gt;1,"s",)</f>
        <v>Other Professional</v>
      </c>
      <c r="E36" s="182"/>
      <c r="F36" s="182"/>
      <c r="G36" s="436">
        <v>12</v>
      </c>
      <c r="H36" s="198">
        <f t="shared" si="6"/>
        <v>0</v>
      </c>
      <c r="I36" s="199"/>
      <c r="J36" s="199"/>
      <c r="K36" s="140">
        <f t="shared" si="7"/>
        <v>0</v>
      </c>
      <c r="L36" s="141">
        <f>K36*LOOKUP($K$8,Lists!$A$2:$A$812,IF($K$2="Non-Federal",Lists!$D$2:$D$812,Lists!$C$2:$C$812))</f>
        <v>0</v>
      </c>
      <c r="M36" s="234"/>
      <c r="N36" s="140">
        <f t="shared" si="8"/>
        <v>0</v>
      </c>
      <c r="O36" s="141">
        <f>N36*LOOKUP($K$8,Lists!$A$2:$A$812,IF($K$2="Non-Federal",Lists!$D$2:$D$812,Lists!$C$2:$C$812))</f>
        <v>0</v>
      </c>
      <c r="P36" s="205"/>
      <c r="Q36" s="675"/>
      <c r="R36" s="675"/>
      <c r="S36" s="675"/>
      <c r="T36" s="371"/>
      <c r="U36" s="117" t="s">
        <v>493</v>
      </c>
    </row>
    <row r="37" spans="1:21" s="2" customFormat="1" ht="14.25" hidden="1" customHeight="1">
      <c r="A37" s="185" t="s">
        <v>492</v>
      </c>
      <c r="B37" s="382"/>
      <c r="C37" s="180" t="s">
        <v>457</v>
      </c>
      <c r="D37" s="182" t="str">
        <f>"Other Professional"&amp;IF(B37&gt;1,"s",)</f>
        <v>Other Professional</v>
      </c>
      <c r="E37" s="182"/>
      <c r="F37" s="182"/>
      <c r="G37" s="436">
        <v>12</v>
      </c>
      <c r="H37" s="198">
        <f t="shared" si="6"/>
        <v>0</v>
      </c>
      <c r="I37" s="199"/>
      <c r="J37" s="199"/>
      <c r="K37" s="140">
        <f t="shared" si="7"/>
        <v>0</v>
      </c>
      <c r="L37" s="141">
        <f>K37*LOOKUP($K$8,Lists!$A$2:$A$812,IF($K$2="Non-Federal",Lists!$D$2:$D$812,Lists!$C$2:$C$812))</f>
        <v>0</v>
      </c>
      <c r="M37" s="234"/>
      <c r="N37" s="140">
        <f t="shared" si="8"/>
        <v>0</v>
      </c>
      <c r="O37" s="141">
        <f>N37*LOOKUP($K$8,Lists!$A$2:$A$812,IF($K$2="Non-Federal",Lists!$D$2:$D$812,Lists!$C$2:$C$812))</f>
        <v>0</v>
      </c>
      <c r="P37" s="205"/>
      <c r="Q37" s="675"/>
      <c r="R37" s="675"/>
      <c r="S37" s="675"/>
      <c r="T37" s="371"/>
      <c r="U37" s="117" t="s">
        <v>493</v>
      </c>
    </row>
    <row r="38" spans="1:21" s="2" customFormat="1" ht="14.25" customHeight="1">
      <c r="A38" s="185" t="s">
        <v>4</v>
      </c>
      <c r="B38" s="382"/>
      <c r="C38" s="180" t="s">
        <v>457</v>
      </c>
      <c r="D38" s="182" t="str">
        <f>"Graduate Student"&amp;IF(B38&gt;1,"s",)</f>
        <v>Graduate Student</v>
      </c>
      <c r="E38" s="182"/>
      <c r="F38" s="182"/>
      <c r="G38" s="436">
        <v>12</v>
      </c>
      <c r="H38" s="198">
        <f t="shared" si="6"/>
        <v>0</v>
      </c>
      <c r="I38" s="199"/>
      <c r="J38" s="199"/>
      <c r="K38" s="140">
        <f t="shared" si="7"/>
        <v>0</v>
      </c>
      <c r="L38" s="141">
        <f>K38*LOOKUP($K$8,Lists!$A$2:$A$812,Lists!$F$2:$F$812)</f>
        <v>0</v>
      </c>
      <c r="M38" s="234"/>
      <c r="N38" s="140">
        <f t="shared" si="8"/>
        <v>0</v>
      </c>
      <c r="O38" s="141">
        <f>N38*LOOKUP($K$8,Lists!$A$2:$A$812,Lists!$F$2:$F$812)</f>
        <v>0</v>
      </c>
      <c r="P38" s="205">
        <f>2933*12</f>
        <v>35196</v>
      </c>
      <c r="Q38" s="675"/>
      <c r="R38" s="675"/>
      <c r="S38" s="675"/>
      <c r="T38" s="371" t="s">
        <v>605</v>
      </c>
      <c r="U38" s="117" t="s">
        <v>219</v>
      </c>
    </row>
    <row r="39" spans="1:21" s="2" customFormat="1" ht="14.25" customHeight="1">
      <c r="A39" s="185" t="s">
        <v>5</v>
      </c>
      <c r="B39" s="382"/>
      <c r="C39" s="180" t="s">
        <v>457</v>
      </c>
      <c r="D39" s="182" t="str">
        <f>"Undergraduate Student"&amp;IF(B39&gt;1,"s",)</f>
        <v>Undergraduate Student</v>
      </c>
      <c r="E39" s="182"/>
      <c r="F39" s="182"/>
      <c r="G39" s="436">
        <v>12</v>
      </c>
      <c r="H39" s="198">
        <f t="shared" si="6"/>
        <v>0</v>
      </c>
      <c r="I39" s="199"/>
      <c r="J39" s="199"/>
      <c r="K39" s="140">
        <f t="shared" si="7"/>
        <v>0</v>
      </c>
      <c r="L39" s="199"/>
      <c r="M39" s="234"/>
      <c r="N39" s="140">
        <f t="shared" si="8"/>
        <v>0</v>
      </c>
      <c r="O39" s="199"/>
      <c r="P39" s="205"/>
      <c r="Q39" s="675"/>
      <c r="R39" s="675"/>
      <c r="S39" s="675"/>
      <c r="T39" s="371" t="s">
        <v>243</v>
      </c>
      <c r="U39" s="117" t="s">
        <v>219</v>
      </c>
    </row>
    <row r="40" spans="1:21" s="2" customFormat="1" ht="14.25" customHeight="1" thickBot="1">
      <c r="A40" s="185" t="s">
        <v>6</v>
      </c>
      <c r="B40" s="382"/>
      <c r="C40" s="180" t="s">
        <v>457</v>
      </c>
      <c r="D40" s="182" t="str">
        <f>"Other"&amp;IF(B40&gt;1,"s",)&amp;" (Carrying Statutory Benefits)"</f>
        <v>Other (Carrying Statutory Benefits)</v>
      </c>
      <c r="E40" s="182"/>
      <c r="F40" s="182"/>
      <c r="G40" s="436">
        <v>12</v>
      </c>
      <c r="H40" s="198">
        <f t="shared" si="6"/>
        <v>0</v>
      </c>
      <c r="I40" s="199"/>
      <c r="J40" s="199"/>
      <c r="K40" s="140">
        <f t="shared" si="7"/>
        <v>0</v>
      </c>
      <c r="L40" s="141">
        <f>K40*LOOKUP($K$8,Lists!$A$2:$A$812,Lists!$E$2:$E$812)</f>
        <v>0</v>
      </c>
      <c r="M40" s="234"/>
      <c r="N40" s="140">
        <f t="shared" si="8"/>
        <v>0</v>
      </c>
      <c r="O40" s="141">
        <f>N40*LOOKUP($K$8,Lists!$A$2:$A$812,Lists!$E$2:$E$812)</f>
        <v>0</v>
      </c>
      <c r="P40" s="205"/>
      <c r="Q40" s="675"/>
      <c r="R40" s="675"/>
      <c r="S40" s="675"/>
      <c r="T40" s="371" t="s">
        <v>247</v>
      </c>
      <c r="U40" s="117" t="s">
        <v>219</v>
      </c>
    </row>
    <row r="41" spans="1:21" s="2" customFormat="1" ht="14.25" customHeight="1" thickBot="1">
      <c r="A41" s="163"/>
      <c r="B41" s="180" t="s">
        <v>90</v>
      </c>
      <c r="C41" s="164"/>
      <c r="D41" s="158"/>
      <c r="E41" s="158"/>
      <c r="F41" s="158"/>
      <c r="G41" s="158"/>
      <c r="H41" s="165"/>
      <c r="I41" s="166"/>
      <c r="J41" s="164"/>
      <c r="K41" s="752">
        <f>SUM(K30:K40)</f>
        <v>0</v>
      </c>
      <c r="L41" s="753"/>
      <c r="M41" s="231"/>
      <c r="N41" s="767">
        <f>SUM(N30:N40)</f>
        <v>0</v>
      </c>
      <c r="O41" s="772"/>
      <c r="P41" s="108"/>
      <c r="Q41" s="325"/>
      <c r="R41" s="177"/>
      <c r="S41" s="369"/>
      <c r="T41" s="109"/>
      <c r="U41" s="117" t="s">
        <v>219</v>
      </c>
    </row>
    <row r="42" spans="1:21" s="2" customFormat="1" ht="14.25" customHeight="1" thickBot="1">
      <c r="A42" s="185" t="s">
        <v>91</v>
      </c>
      <c r="B42" s="164"/>
      <c r="C42" s="164"/>
      <c r="D42" s="156"/>
      <c r="E42" s="156"/>
      <c r="F42" s="167"/>
      <c r="G42" s="168"/>
      <c r="H42" s="169"/>
      <c r="I42" s="166"/>
      <c r="J42" s="164"/>
      <c r="K42" s="752">
        <f>SUM(L30:L40)</f>
        <v>0</v>
      </c>
      <c r="L42" s="753"/>
      <c r="M42" s="231"/>
      <c r="N42" s="767">
        <f>SUM(O30:O40)</f>
        <v>0</v>
      </c>
      <c r="O42" s="772"/>
      <c r="P42" s="110"/>
      <c r="Q42" s="111"/>
      <c r="R42" s="111"/>
      <c r="S42" s="111"/>
      <c r="T42" s="112"/>
      <c r="U42" s="117" t="s">
        <v>219</v>
      </c>
    </row>
    <row r="43" spans="1:21" s="2" customFormat="1" ht="14.25" customHeight="1" thickBot="1">
      <c r="A43" s="148"/>
      <c r="B43" s="186" t="s">
        <v>206</v>
      </c>
      <c r="C43" s="149"/>
      <c r="D43" s="150"/>
      <c r="E43" s="150"/>
      <c r="F43" s="150"/>
      <c r="G43" s="150"/>
      <c r="H43" s="149"/>
      <c r="I43" s="149"/>
      <c r="J43" s="149"/>
      <c r="K43" s="752">
        <f>SUM(K41:K42)</f>
        <v>0</v>
      </c>
      <c r="L43" s="753"/>
      <c r="M43" s="231"/>
      <c r="N43" s="767">
        <f>SUM(N41:N42)</f>
        <v>0</v>
      </c>
      <c r="O43" s="772"/>
      <c r="P43" s="110"/>
      <c r="Q43" s="111"/>
      <c r="R43" s="111"/>
      <c r="S43" s="111"/>
      <c r="T43" s="109"/>
      <c r="U43" s="117" t="s">
        <v>219</v>
      </c>
    </row>
    <row r="44" spans="1:21" s="2" customFormat="1" ht="14.25" customHeight="1" thickBot="1">
      <c r="A44" s="183" t="s">
        <v>207</v>
      </c>
      <c r="B44" s="144"/>
      <c r="C44" s="144"/>
      <c r="D44" s="145"/>
      <c r="E44" s="145"/>
      <c r="F44" s="145"/>
      <c r="G44" s="145"/>
      <c r="H44" s="144"/>
      <c r="I44" s="159"/>
      <c r="J44" s="144"/>
      <c r="K44" s="28"/>
      <c r="L44" s="29"/>
      <c r="M44" s="231"/>
      <c r="N44" s="28"/>
      <c r="O44" s="29"/>
      <c r="P44" s="802" t="s">
        <v>155</v>
      </c>
      <c r="Q44" s="802"/>
      <c r="R44" s="802"/>
      <c r="S44" s="802"/>
      <c r="T44" s="370" t="s">
        <v>230</v>
      </c>
      <c r="U44" s="117" t="s">
        <v>219</v>
      </c>
    </row>
    <row r="45" spans="1:21" s="2" customFormat="1" ht="14.25" customHeight="1" thickBot="1">
      <c r="A45" s="162"/>
      <c r="B45" s="672"/>
      <c r="C45" s="673"/>
      <c r="D45" s="673"/>
      <c r="E45" s="673"/>
      <c r="F45" s="674"/>
      <c r="G45" s="160"/>
      <c r="H45" s="160"/>
      <c r="I45" s="187" t="s">
        <v>160</v>
      </c>
      <c r="J45" s="161"/>
      <c r="K45" s="676"/>
      <c r="L45" s="677"/>
      <c r="M45" s="231"/>
      <c r="N45" s="676"/>
      <c r="O45" s="677"/>
      <c r="P45" s="675"/>
      <c r="Q45" s="675"/>
      <c r="R45" s="675"/>
      <c r="S45" s="675"/>
      <c r="T45" s="371" t="s">
        <v>244</v>
      </c>
      <c r="U45" s="117" t="s">
        <v>219</v>
      </c>
    </row>
    <row r="46" spans="1:21" s="2" customFormat="1" ht="14.25" hidden="1" customHeight="1" thickBot="1">
      <c r="A46" s="162"/>
      <c r="B46" s="672"/>
      <c r="C46" s="673"/>
      <c r="D46" s="673"/>
      <c r="E46" s="673"/>
      <c r="F46" s="674"/>
      <c r="G46" s="160"/>
      <c r="H46" s="160"/>
      <c r="I46" s="187" t="s">
        <v>161</v>
      </c>
      <c r="J46" s="161"/>
      <c r="K46" s="676"/>
      <c r="L46" s="677"/>
      <c r="M46" s="231"/>
      <c r="N46" s="676"/>
      <c r="O46" s="677"/>
      <c r="P46" s="111"/>
      <c r="Q46" s="111"/>
      <c r="R46" s="111"/>
      <c r="S46" s="111"/>
      <c r="T46" s="109"/>
      <c r="U46" s="117" t="s">
        <v>487</v>
      </c>
    </row>
    <row r="47" spans="1:21" s="2" customFormat="1" ht="14.25" hidden="1" customHeight="1" thickBot="1">
      <c r="A47" s="162"/>
      <c r="B47" s="672"/>
      <c r="C47" s="673"/>
      <c r="D47" s="673"/>
      <c r="E47" s="673"/>
      <c r="F47" s="674"/>
      <c r="G47" s="160"/>
      <c r="H47" s="160"/>
      <c r="I47" s="187" t="s">
        <v>162</v>
      </c>
      <c r="J47" s="161"/>
      <c r="K47" s="676"/>
      <c r="L47" s="677"/>
      <c r="M47" s="231"/>
      <c r="N47" s="676"/>
      <c r="O47" s="677"/>
      <c r="P47" s="111"/>
      <c r="Q47" s="111"/>
      <c r="R47" s="111"/>
      <c r="S47" s="111"/>
      <c r="T47" s="109"/>
      <c r="U47" s="117" t="s">
        <v>487</v>
      </c>
    </row>
    <row r="48" spans="1:21" s="2" customFormat="1" ht="14.25" hidden="1" customHeight="1" thickBot="1">
      <c r="A48" s="162"/>
      <c r="B48" s="672"/>
      <c r="C48" s="673"/>
      <c r="D48" s="673"/>
      <c r="E48" s="673"/>
      <c r="F48" s="674"/>
      <c r="G48" s="160"/>
      <c r="H48" s="160"/>
      <c r="I48" s="187" t="s">
        <v>163</v>
      </c>
      <c r="J48" s="161"/>
      <c r="K48" s="676"/>
      <c r="L48" s="677"/>
      <c r="M48" s="231"/>
      <c r="N48" s="676"/>
      <c r="O48" s="677"/>
      <c r="P48" s="111"/>
      <c r="Q48" s="111"/>
      <c r="R48" s="111"/>
      <c r="S48" s="111"/>
      <c r="T48" s="109"/>
      <c r="U48" s="117" t="s">
        <v>487</v>
      </c>
    </row>
    <row r="49" spans="1:21" s="2" customFormat="1" ht="14.25" hidden="1" customHeight="1" thickBot="1">
      <c r="A49" s="162"/>
      <c r="B49" s="672"/>
      <c r="C49" s="673"/>
      <c r="D49" s="673"/>
      <c r="E49" s="673"/>
      <c r="F49" s="674"/>
      <c r="G49" s="160"/>
      <c r="H49" s="160"/>
      <c r="I49" s="187" t="s">
        <v>164</v>
      </c>
      <c r="J49" s="161"/>
      <c r="K49" s="676"/>
      <c r="L49" s="677"/>
      <c r="M49" s="231"/>
      <c r="N49" s="676"/>
      <c r="O49" s="677"/>
      <c r="P49" s="111"/>
      <c r="Q49" s="111"/>
      <c r="R49" s="111"/>
      <c r="S49" s="111"/>
      <c r="T49" s="109"/>
      <c r="U49" s="117" t="s">
        <v>487</v>
      </c>
    </row>
    <row r="50" spans="1:21" s="2" customFormat="1" ht="14.25" customHeight="1" thickBot="1">
      <c r="A50" s="143"/>
      <c r="B50" s="191" t="s">
        <v>208</v>
      </c>
      <c r="C50" s="144"/>
      <c r="D50" s="145"/>
      <c r="E50" s="145"/>
      <c r="F50" s="145"/>
      <c r="G50" s="145"/>
      <c r="H50" s="156"/>
      <c r="I50" s="156"/>
      <c r="J50" s="367"/>
      <c r="K50" s="762">
        <f>SUM(K45:K49)</f>
        <v>0</v>
      </c>
      <c r="L50" s="763"/>
      <c r="M50" s="231"/>
      <c r="N50" s="798">
        <f>SUM(N45:N49)</f>
        <v>0</v>
      </c>
      <c r="O50" s="799"/>
      <c r="P50" s="111"/>
      <c r="Q50" s="111"/>
      <c r="R50" s="111"/>
      <c r="S50" s="111"/>
      <c r="T50" s="109"/>
      <c r="U50" s="117" t="s">
        <v>219</v>
      </c>
    </row>
    <row r="51" spans="1:21" s="2" customFormat="1" ht="14.25" customHeight="1">
      <c r="A51" s="188" t="s">
        <v>209</v>
      </c>
      <c r="B51" s="186"/>
      <c r="C51" s="186"/>
      <c r="D51" s="189"/>
      <c r="E51" s="189"/>
      <c r="F51" s="366"/>
      <c r="G51" s="368" t="s">
        <v>458</v>
      </c>
      <c r="H51" s="758" t="s">
        <v>92</v>
      </c>
      <c r="I51" s="759"/>
      <c r="J51" s="759"/>
      <c r="K51" s="754">
        <f>IF(AND($A$5&lt;=$K$5,SUM('Travel Calculator'!$L$14:$M$14)&gt;0),('Travel Calculator'!$L$9*(1-'Travel Calculator'!$N$4)),)</f>
        <v>0</v>
      </c>
      <c r="L51" s="755"/>
      <c r="M51" s="231"/>
      <c r="N51" s="754"/>
      <c r="O51" s="755"/>
      <c r="P51" s="111"/>
      <c r="Q51" s="111"/>
      <c r="R51" s="111"/>
      <c r="S51" s="111"/>
      <c r="T51" s="109"/>
      <c r="U51" s="117" t="s">
        <v>219</v>
      </c>
    </row>
    <row r="52" spans="1:21" s="2" customFormat="1" ht="14.25" customHeight="1" thickBot="1">
      <c r="A52" s="188"/>
      <c r="B52" s="186"/>
      <c r="C52" s="186"/>
      <c r="D52" s="189"/>
      <c r="E52" s="189"/>
      <c r="F52" s="366"/>
      <c r="G52" s="368" t="s">
        <v>459</v>
      </c>
      <c r="H52" s="758" t="s">
        <v>93</v>
      </c>
      <c r="I52" s="759"/>
      <c r="J52" s="759"/>
      <c r="K52" s="764">
        <f>IF(AND($A$5&lt;=$K$5,SUM('Travel Calculator'!$L$14:$M$14)&gt;0),('Travel Calculator'!$M$9*(1-'Travel Calculator'!$N$4)),)</f>
        <v>0</v>
      </c>
      <c r="L52" s="765"/>
      <c r="M52" s="231"/>
      <c r="N52" s="764">
        <f>IF(AND($A$5&lt;=$K$5,SUM('Travel Calculator'!$L$14:$M$14)&gt;0),('Travel Calculator'!$M$9*('Travel Calculator'!$N$4)),)</f>
        <v>0</v>
      </c>
      <c r="O52" s="765"/>
      <c r="P52" s="802" t="s">
        <v>156</v>
      </c>
      <c r="Q52" s="802"/>
      <c r="R52" s="802"/>
      <c r="S52" s="802"/>
      <c r="T52" s="370" t="s">
        <v>230</v>
      </c>
      <c r="U52" s="117" t="s">
        <v>219</v>
      </c>
    </row>
    <row r="53" spans="1:21" s="2" customFormat="1" ht="14.25" customHeight="1" thickBot="1">
      <c r="A53" s="172"/>
      <c r="B53" s="178"/>
      <c r="C53" s="178"/>
      <c r="D53" s="192"/>
      <c r="E53" s="192"/>
      <c r="F53" s="192"/>
      <c r="G53" s="192"/>
      <c r="H53" s="760" t="s">
        <v>108</v>
      </c>
      <c r="I53" s="760"/>
      <c r="J53" s="761"/>
      <c r="K53" s="752">
        <f>K51+K52</f>
        <v>0</v>
      </c>
      <c r="L53" s="753"/>
      <c r="M53" s="231"/>
      <c r="N53" s="767">
        <f>N51+N52</f>
        <v>0</v>
      </c>
      <c r="O53" s="768"/>
      <c r="P53" s="675"/>
      <c r="Q53" s="675"/>
      <c r="R53" s="675"/>
      <c r="S53" s="675"/>
      <c r="T53" s="371" t="s">
        <v>246</v>
      </c>
      <c r="U53" s="117" t="s">
        <v>219</v>
      </c>
    </row>
    <row r="54" spans="1:21" s="2" customFormat="1" ht="14.25" customHeight="1">
      <c r="A54" s="188" t="s">
        <v>210</v>
      </c>
      <c r="B54" s="186"/>
      <c r="C54" s="186"/>
      <c r="D54" s="189"/>
      <c r="E54" s="189"/>
      <c r="F54" s="189"/>
      <c r="G54" s="189"/>
      <c r="H54" s="186"/>
      <c r="I54" s="193"/>
      <c r="J54" s="186"/>
      <c r="K54" s="30"/>
      <c r="L54" s="31"/>
      <c r="M54" s="231"/>
      <c r="N54" s="30"/>
      <c r="O54" s="373"/>
      <c r="P54" s="802" t="s">
        <v>224</v>
      </c>
      <c r="Q54" s="802"/>
      <c r="R54" s="802"/>
      <c r="S54" s="802"/>
      <c r="T54" s="370" t="s">
        <v>230</v>
      </c>
      <c r="U54" s="117" t="s">
        <v>219</v>
      </c>
    </row>
    <row r="55" spans="1:21" s="2" customFormat="1" ht="14.25" customHeight="1">
      <c r="A55" s="188"/>
      <c r="B55" s="194">
        <v>1</v>
      </c>
      <c r="C55" s="680" t="s">
        <v>211</v>
      </c>
      <c r="D55" s="680"/>
      <c r="E55" s="680"/>
      <c r="F55" s="680"/>
      <c r="G55" s="680"/>
      <c r="H55" s="680"/>
      <c r="I55" s="680"/>
      <c r="J55" s="758"/>
      <c r="K55" s="676"/>
      <c r="L55" s="677"/>
      <c r="M55" s="231"/>
      <c r="N55" s="676"/>
      <c r="O55" s="769"/>
      <c r="P55" s="675"/>
      <c r="Q55" s="675"/>
      <c r="R55" s="675"/>
      <c r="S55" s="675"/>
      <c r="T55" s="371" t="s">
        <v>236</v>
      </c>
      <c r="U55" s="117" t="s">
        <v>219</v>
      </c>
    </row>
    <row r="56" spans="1:21" s="2" customFormat="1" ht="14.25" customHeight="1">
      <c r="A56" s="188"/>
      <c r="B56" s="194">
        <v>2</v>
      </c>
      <c r="C56" s="680" t="s">
        <v>212</v>
      </c>
      <c r="D56" s="680"/>
      <c r="E56" s="680"/>
      <c r="F56" s="680"/>
      <c r="G56" s="680"/>
      <c r="H56" s="680"/>
      <c r="I56" s="680"/>
      <c r="J56" s="758"/>
      <c r="K56" s="676"/>
      <c r="L56" s="677"/>
      <c r="M56" s="231"/>
      <c r="N56" s="676"/>
      <c r="O56" s="769"/>
      <c r="P56" s="675"/>
      <c r="Q56" s="675"/>
      <c r="R56" s="675"/>
      <c r="S56" s="675"/>
      <c r="T56" s="371" t="s">
        <v>237</v>
      </c>
      <c r="U56" s="117" t="s">
        <v>219</v>
      </c>
    </row>
    <row r="57" spans="1:21" s="2" customFormat="1" ht="14.25" customHeight="1">
      <c r="A57" s="188"/>
      <c r="B57" s="194">
        <v>3</v>
      </c>
      <c r="C57" s="680" t="s">
        <v>213</v>
      </c>
      <c r="D57" s="680"/>
      <c r="E57" s="680"/>
      <c r="F57" s="680"/>
      <c r="G57" s="680"/>
      <c r="H57" s="680"/>
      <c r="I57" s="680"/>
      <c r="J57" s="758"/>
      <c r="K57" s="676"/>
      <c r="L57" s="677"/>
      <c r="M57" s="231"/>
      <c r="N57" s="676"/>
      <c r="O57" s="769"/>
      <c r="P57" s="675"/>
      <c r="Q57" s="675"/>
      <c r="R57" s="675"/>
      <c r="S57" s="675"/>
      <c r="T57" s="371" t="s">
        <v>238</v>
      </c>
      <c r="U57" s="117" t="s">
        <v>219</v>
      </c>
    </row>
    <row r="58" spans="1:21" s="2" customFormat="1" ht="14.25" customHeight="1">
      <c r="A58" s="188"/>
      <c r="B58" s="194">
        <v>4</v>
      </c>
      <c r="C58" s="680" t="s">
        <v>214</v>
      </c>
      <c r="D58" s="680"/>
      <c r="E58" s="680"/>
      <c r="F58" s="680"/>
      <c r="G58" s="680"/>
      <c r="H58" s="680"/>
      <c r="I58" s="680"/>
      <c r="J58" s="758"/>
      <c r="K58" s="676"/>
      <c r="L58" s="677"/>
      <c r="M58" s="231"/>
      <c r="N58" s="676"/>
      <c r="O58" s="769"/>
      <c r="P58" s="675"/>
      <c r="Q58" s="675"/>
      <c r="R58" s="675"/>
      <c r="S58" s="675"/>
      <c r="T58" s="371" t="s">
        <v>239</v>
      </c>
      <c r="U58" s="117" t="s">
        <v>219</v>
      </c>
    </row>
    <row r="59" spans="1:21" s="2" customFormat="1" ht="14.25" customHeight="1">
      <c r="A59" s="188"/>
      <c r="B59" s="194">
        <v>5</v>
      </c>
      <c r="C59" s="680" t="s">
        <v>215</v>
      </c>
      <c r="D59" s="680"/>
      <c r="E59" s="680"/>
      <c r="F59" s="680"/>
      <c r="G59" s="680"/>
      <c r="H59" s="680"/>
      <c r="I59" s="680"/>
      <c r="J59" s="758"/>
      <c r="K59" s="670">
        <f>SUM((H38/12)*LOOKUP(K8,Lists!A2:A812,Lists!K2:K812))</f>
        <v>0</v>
      </c>
      <c r="L59" s="671"/>
      <c r="M59" s="231"/>
      <c r="N59" s="817">
        <f>SUM((M38/12)*LOOKUP(K8,Lists!A2:A812,Lists!K2:K812))</f>
        <v>0</v>
      </c>
      <c r="O59" s="818"/>
      <c r="P59" s="802" t="s">
        <v>158</v>
      </c>
      <c r="Q59" s="802"/>
      <c r="R59" s="802"/>
      <c r="S59" s="802"/>
      <c r="T59" s="370" t="s">
        <v>230</v>
      </c>
      <c r="U59" s="117" t="s">
        <v>219</v>
      </c>
    </row>
    <row r="60" spans="1:21" s="2" customFormat="1" ht="14.25" customHeight="1">
      <c r="A60" s="188"/>
      <c r="B60" s="194">
        <v>6</v>
      </c>
      <c r="C60" s="680" t="s">
        <v>216</v>
      </c>
      <c r="D60" s="680"/>
      <c r="E60" s="680"/>
      <c r="F60" s="680"/>
      <c r="G60" s="680"/>
      <c r="H60" s="680"/>
      <c r="I60" s="680"/>
      <c r="J60" s="758"/>
      <c r="K60" s="676"/>
      <c r="L60" s="677"/>
      <c r="M60" s="231"/>
      <c r="N60" s="676"/>
      <c r="O60" s="769"/>
      <c r="P60" s="675"/>
      <c r="Q60" s="675"/>
      <c r="R60" s="675"/>
      <c r="S60" s="675"/>
      <c r="T60" s="371" t="s">
        <v>240</v>
      </c>
      <c r="U60" s="117" t="s">
        <v>219</v>
      </c>
    </row>
    <row r="61" spans="1:21" s="2" customFormat="1" ht="14.25" customHeight="1" thickBot="1">
      <c r="A61" s="188"/>
      <c r="B61" s="194">
        <v>7</v>
      </c>
      <c r="C61" s="680" t="s">
        <v>283</v>
      </c>
      <c r="D61" s="680"/>
      <c r="E61" s="680"/>
      <c r="F61" s="680"/>
      <c r="G61" s="680"/>
      <c r="H61" s="680"/>
      <c r="I61" s="680"/>
      <c r="J61" s="758"/>
      <c r="K61" s="676"/>
      <c r="L61" s="677"/>
      <c r="M61" s="231"/>
      <c r="N61" s="676"/>
      <c r="O61" s="769"/>
      <c r="P61" s="195" t="s">
        <v>147</v>
      </c>
      <c r="Q61" s="802" t="s">
        <v>157</v>
      </c>
      <c r="R61" s="802"/>
      <c r="S61" s="802"/>
      <c r="T61" s="370" t="s">
        <v>230</v>
      </c>
      <c r="U61" s="117" t="s">
        <v>219</v>
      </c>
    </row>
    <row r="62" spans="1:21" s="2" customFormat="1" ht="14.25" customHeight="1" thickBot="1">
      <c r="A62" s="172"/>
      <c r="B62" s="233">
        <v>8</v>
      </c>
      <c r="C62" s="680" t="s">
        <v>566</v>
      </c>
      <c r="D62" s="680"/>
      <c r="E62" s="678" t="s">
        <v>292</v>
      </c>
      <c r="F62" s="679"/>
      <c r="G62" s="667">
        <f>'Subaward Calculator'!B8</f>
        <v>0</v>
      </c>
      <c r="H62" s="668"/>
      <c r="I62" s="669"/>
      <c r="J62" s="374">
        <f>IF(K62&lt;25000,25000-K62,0)</f>
        <v>25000</v>
      </c>
      <c r="K62" s="682">
        <f>'Subaward Calculator'!E9</f>
        <v>0</v>
      </c>
      <c r="L62" s="766"/>
      <c r="M62" s="231"/>
      <c r="N62" s="682">
        <f>'Subaward Calculator'!G9</f>
        <v>0</v>
      </c>
      <c r="O62" s="683"/>
      <c r="P62" s="486">
        <f>'Subaward Calculator'!B9</f>
        <v>0</v>
      </c>
      <c r="Q62" s="675"/>
      <c r="R62" s="675"/>
      <c r="S62" s="675"/>
      <c r="T62" s="371" t="s">
        <v>241</v>
      </c>
      <c r="U62" s="117" t="s">
        <v>219</v>
      </c>
    </row>
    <row r="63" spans="1:21" s="2" customFormat="1" ht="14.25" hidden="1" customHeight="1" thickBot="1">
      <c r="A63" s="188"/>
      <c r="B63" s="233">
        <v>9</v>
      </c>
      <c r="C63" s="680" t="s">
        <v>567</v>
      </c>
      <c r="D63" s="680"/>
      <c r="E63" s="678" t="s">
        <v>292</v>
      </c>
      <c r="F63" s="679"/>
      <c r="G63" s="667">
        <f>'Subaward Calculator'!B11</f>
        <v>0</v>
      </c>
      <c r="H63" s="668"/>
      <c r="I63" s="669"/>
      <c r="J63" s="374">
        <f t="shared" ref="J63:J73" si="9">IF(K63&lt;25000,25000-K63,0)</f>
        <v>25000</v>
      </c>
      <c r="K63" s="682">
        <f>'Subaward Calculator'!E12</f>
        <v>0</v>
      </c>
      <c r="L63" s="766"/>
      <c r="M63" s="231"/>
      <c r="N63" s="682">
        <f>'Subaward Calculator'!G12</f>
        <v>0</v>
      </c>
      <c r="O63" s="683"/>
      <c r="P63" s="486">
        <f>'Subaward Calculator'!B12</f>
        <v>0</v>
      </c>
      <c r="Q63" s="675"/>
      <c r="R63" s="675"/>
      <c r="S63" s="675"/>
      <c r="T63" s="371" t="s">
        <v>242</v>
      </c>
      <c r="U63" s="117" t="s">
        <v>222</v>
      </c>
    </row>
    <row r="64" spans="1:21" s="2" customFormat="1" ht="14.25" hidden="1" customHeight="1" thickBot="1">
      <c r="A64" s="188"/>
      <c r="B64" s="233">
        <v>10</v>
      </c>
      <c r="C64" s="680" t="s">
        <v>568</v>
      </c>
      <c r="D64" s="680"/>
      <c r="E64" s="678" t="s">
        <v>292</v>
      </c>
      <c r="F64" s="679"/>
      <c r="G64" s="667">
        <f>'Subaward Calculator'!B14</f>
        <v>0</v>
      </c>
      <c r="H64" s="668"/>
      <c r="I64" s="669"/>
      <c r="J64" s="374">
        <f t="shared" si="9"/>
        <v>25000</v>
      </c>
      <c r="K64" s="682">
        <f>'Subaward Calculator'!E15</f>
        <v>0</v>
      </c>
      <c r="L64" s="766"/>
      <c r="M64" s="231"/>
      <c r="N64" s="682">
        <f>'Subaward Calculator'!G15</f>
        <v>0</v>
      </c>
      <c r="O64" s="683"/>
      <c r="P64" s="486">
        <f>'Subaward Calculator'!B15</f>
        <v>0</v>
      </c>
      <c r="Q64" s="675"/>
      <c r="R64" s="675"/>
      <c r="S64" s="675"/>
      <c r="T64" s="371" t="s">
        <v>245</v>
      </c>
      <c r="U64" s="117" t="s">
        <v>222</v>
      </c>
    </row>
    <row r="65" spans="1:21" s="2" customFormat="1" ht="14.25" hidden="1" customHeight="1" thickBot="1">
      <c r="A65" s="188"/>
      <c r="B65" s="233">
        <v>11</v>
      </c>
      <c r="C65" s="680" t="s">
        <v>569</v>
      </c>
      <c r="D65" s="680"/>
      <c r="E65" s="678" t="s">
        <v>292</v>
      </c>
      <c r="F65" s="679"/>
      <c r="G65" s="667">
        <f>'Subaward Calculator'!B17</f>
        <v>0</v>
      </c>
      <c r="H65" s="668"/>
      <c r="I65" s="669"/>
      <c r="J65" s="374">
        <f t="shared" si="9"/>
        <v>25000</v>
      </c>
      <c r="K65" s="682">
        <f>'Subaward Calculator'!E18</f>
        <v>0</v>
      </c>
      <c r="L65" s="766"/>
      <c r="M65" s="231"/>
      <c r="N65" s="682">
        <f>'Subaward Calculator'!G18</f>
        <v>0</v>
      </c>
      <c r="O65" s="683"/>
      <c r="P65" s="486">
        <f>'Subaward Calculator'!B18</f>
        <v>0</v>
      </c>
      <c r="Q65" s="675"/>
      <c r="R65" s="675"/>
      <c r="S65" s="675"/>
      <c r="T65" s="371" t="s">
        <v>241</v>
      </c>
      <c r="U65" s="117" t="s">
        <v>222</v>
      </c>
    </row>
    <row r="66" spans="1:21" s="2" customFormat="1" ht="14.25" hidden="1" customHeight="1" thickBot="1">
      <c r="A66" s="188"/>
      <c r="B66" s="233">
        <v>12</v>
      </c>
      <c r="C66" s="680" t="s">
        <v>570</v>
      </c>
      <c r="D66" s="680"/>
      <c r="E66" s="678" t="s">
        <v>292</v>
      </c>
      <c r="F66" s="679"/>
      <c r="G66" s="667">
        <f>'Subaward Calculator'!B20</f>
        <v>0</v>
      </c>
      <c r="H66" s="668"/>
      <c r="I66" s="669"/>
      <c r="J66" s="374">
        <f t="shared" si="9"/>
        <v>25000</v>
      </c>
      <c r="K66" s="682">
        <f>'Subaward Calculator'!E21</f>
        <v>0</v>
      </c>
      <c r="L66" s="766"/>
      <c r="M66" s="231"/>
      <c r="N66" s="682">
        <f>'Subaward Calculator'!G21</f>
        <v>0</v>
      </c>
      <c r="O66" s="683"/>
      <c r="P66" s="486">
        <f>'Subaward Calculator'!B21</f>
        <v>0</v>
      </c>
      <c r="Q66" s="675"/>
      <c r="R66" s="675"/>
      <c r="S66" s="675"/>
      <c r="T66" s="371" t="s">
        <v>242</v>
      </c>
      <c r="U66" s="117" t="s">
        <v>222</v>
      </c>
    </row>
    <row r="67" spans="1:21" s="2" customFormat="1" ht="14.25" hidden="1" customHeight="1" thickBot="1">
      <c r="A67" s="188"/>
      <c r="B67" s="233">
        <v>13</v>
      </c>
      <c r="C67" s="680" t="s">
        <v>571</v>
      </c>
      <c r="D67" s="680"/>
      <c r="E67" s="678" t="s">
        <v>292</v>
      </c>
      <c r="F67" s="679"/>
      <c r="G67" s="667">
        <f>'Subaward Calculator'!B23</f>
        <v>0</v>
      </c>
      <c r="H67" s="668"/>
      <c r="I67" s="669"/>
      <c r="J67" s="374">
        <f t="shared" si="9"/>
        <v>25000</v>
      </c>
      <c r="K67" s="682">
        <f>'Subaward Calculator'!E24</f>
        <v>0</v>
      </c>
      <c r="L67" s="766"/>
      <c r="M67" s="231"/>
      <c r="N67" s="682">
        <f>'Subaward Calculator'!G24</f>
        <v>0</v>
      </c>
      <c r="O67" s="683"/>
      <c r="P67" s="486">
        <f>'Subaward Calculator'!B24</f>
        <v>0</v>
      </c>
      <c r="Q67" s="675"/>
      <c r="R67" s="675"/>
      <c r="S67" s="675"/>
      <c r="T67" s="371" t="s">
        <v>245</v>
      </c>
      <c r="U67" s="117" t="s">
        <v>222</v>
      </c>
    </row>
    <row r="68" spans="1:21" s="2" customFormat="1" ht="14.25" hidden="1" customHeight="1" thickBot="1">
      <c r="A68" s="188"/>
      <c r="B68" s="233">
        <v>14</v>
      </c>
      <c r="C68" s="680" t="s">
        <v>572</v>
      </c>
      <c r="D68" s="680"/>
      <c r="E68" s="678" t="s">
        <v>292</v>
      </c>
      <c r="F68" s="679"/>
      <c r="G68" s="667">
        <f>'Subaward Calculator'!B26</f>
        <v>0</v>
      </c>
      <c r="H68" s="668"/>
      <c r="I68" s="669"/>
      <c r="J68" s="374">
        <f t="shared" si="9"/>
        <v>25000</v>
      </c>
      <c r="K68" s="682">
        <f>'Subaward Calculator'!E27</f>
        <v>0</v>
      </c>
      <c r="L68" s="766"/>
      <c r="M68" s="231"/>
      <c r="N68" s="682">
        <f>'Subaward Calculator'!G27</f>
        <v>0</v>
      </c>
      <c r="O68" s="683"/>
      <c r="P68" s="486">
        <f>'Subaward Calculator'!B27</f>
        <v>0</v>
      </c>
      <c r="Q68" s="675"/>
      <c r="R68" s="675"/>
      <c r="S68" s="675"/>
      <c r="T68" s="371" t="s">
        <v>241</v>
      </c>
      <c r="U68" s="117" t="s">
        <v>223</v>
      </c>
    </row>
    <row r="69" spans="1:21" s="2" customFormat="1" ht="14.25" hidden="1" customHeight="1" thickBot="1">
      <c r="A69" s="188"/>
      <c r="B69" s="233">
        <v>15</v>
      </c>
      <c r="C69" s="680" t="s">
        <v>573</v>
      </c>
      <c r="D69" s="680"/>
      <c r="E69" s="678" t="s">
        <v>292</v>
      </c>
      <c r="F69" s="679"/>
      <c r="G69" s="667">
        <f>'Subaward Calculator'!B29</f>
        <v>0</v>
      </c>
      <c r="H69" s="668"/>
      <c r="I69" s="669"/>
      <c r="J69" s="374">
        <f t="shared" si="9"/>
        <v>25000</v>
      </c>
      <c r="K69" s="682">
        <f>'Subaward Calculator'!E30</f>
        <v>0</v>
      </c>
      <c r="L69" s="766"/>
      <c r="M69" s="231"/>
      <c r="N69" s="682">
        <f>'Subaward Calculator'!G30</f>
        <v>0</v>
      </c>
      <c r="O69" s="683"/>
      <c r="P69" s="486">
        <f>'Subaward Calculator'!B30</f>
        <v>0</v>
      </c>
      <c r="Q69" s="675"/>
      <c r="R69" s="675"/>
      <c r="S69" s="675"/>
      <c r="T69" s="371" t="s">
        <v>242</v>
      </c>
      <c r="U69" s="117" t="s">
        <v>223</v>
      </c>
    </row>
    <row r="70" spans="1:21" s="2" customFormat="1" ht="14.25" hidden="1" customHeight="1" thickBot="1">
      <c r="A70" s="188"/>
      <c r="B70" s="233">
        <v>16</v>
      </c>
      <c r="C70" s="680" t="s">
        <v>574</v>
      </c>
      <c r="D70" s="680"/>
      <c r="E70" s="678" t="s">
        <v>292</v>
      </c>
      <c r="F70" s="679"/>
      <c r="G70" s="667">
        <f>'Subaward Calculator'!B32</f>
        <v>0</v>
      </c>
      <c r="H70" s="668"/>
      <c r="I70" s="669"/>
      <c r="J70" s="374">
        <f t="shared" si="9"/>
        <v>25000</v>
      </c>
      <c r="K70" s="682">
        <f>'Subaward Calculator'!E33</f>
        <v>0</v>
      </c>
      <c r="L70" s="766"/>
      <c r="M70" s="231"/>
      <c r="N70" s="682">
        <f>'Subaward Calculator'!G33</f>
        <v>0</v>
      </c>
      <c r="O70" s="683"/>
      <c r="P70" s="486">
        <f>'Subaward Calculator'!B33</f>
        <v>0</v>
      </c>
      <c r="Q70" s="675"/>
      <c r="R70" s="675"/>
      <c r="S70" s="675"/>
      <c r="T70" s="371" t="s">
        <v>245</v>
      </c>
      <c r="U70" s="117" t="s">
        <v>223</v>
      </c>
    </row>
    <row r="71" spans="1:21" s="2" customFormat="1" ht="14.25" hidden="1" customHeight="1" thickBot="1">
      <c r="A71" s="188"/>
      <c r="B71" s="233">
        <v>17</v>
      </c>
      <c r="C71" s="680" t="s">
        <v>575</v>
      </c>
      <c r="D71" s="680"/>
      <c r="E71" s="678" t="s">
        <v>292</v>
      </c>
      <c r="F71" s="679"/>
      <c r="G71" s="667">
        <f>'Subaward Calculator'!B35</f>
        <v>0</v>
      </c>
      <c r="H71" s="668"/>
      <c r="I71" s="669"/>
      <c r="J71" s="374">
        <f t="shared" si="9"/>
        <v>25000</v>
      </c>
      <c r="K71" s="682">
        <f>'Subaward Calculator'!E36</f>
        <v>0</v>
      </c>
      <c r="L71" s="766"/>
      <c r="M71" s="231"/>
      <c r="N71" s="682">
        <f>'Subaward Calculator'!G36</f>
        <v>0</v>
      </c>
      <c r="O71" s="683"/>
      <c r="P71" s="486">
        <f>'Subaward Calculator'!B36</f>
        <v>0</v>
      </c>
      <c r="Q71" s="675"/>
      <c r="R71" s="675"/>
      <c r="S71" s="675"/>
      <c r="T71" s="371" t="s">
        <v>241</v>
      </c>
      <c r="U71" s="117" t="s">
        <v>223</v>
      </c>
    </row>
    <row r="72" spans="1:21" s="2" customFormat="1" ht="14.25" hidden="1" customHeight="1" thickBot="1">
      <c r="A72" s="188"/>
      <c r="B72" s="233">
        <v>18</v>
      </c>
      <c r="C72" s="680" t="s">
        <v>576</v>
      </c>
      <c r="D72" s="680"/>
      <c r="E72" s="678" t="s">
        <v>292</v>
      </c>
      <c r="F72" s="679"/>
      <c r="G72" s="667">
        <f>'Subaward Calculator'!B38</f>
        <v>0</v>
      </c>
      <c r="H72" s="668"/>
      <c r="I72" s="669"/>
      <c r="J72" s="374">
        <f t="shared" si="9"/>
        <v>25000</v>
      </c>
      <c r="K72" s="682">
        <f>'Subaward Calculator'!E39</f>
        <v>0</v>
      </c>
      <c r="L72" s="766"/>
      <c r="M72" s="231"/>
      <c r="N72" s="682">
        <f>'Subaward Calculator'!G39</f>
        <v>0</v>
      </c>
      <c r="O72" s="683"/>
      <c r="P72" s="486">
        <f>'Subaward Calculator'!B39</f>
        <v>0</v>
      </c>
      <c r="Q72" s="675"/>
      <c r="R72" s="675"/>
      <c r="S72" s="675"/>
      <c r="T72" s="371" t="s">
        <v>242</v>
      </c>
      <c r="U72" s="117" t="s">
        <v>223</v>
      </c>
    </row>
    <row r="73" spans="1:21" s="2" customFormat="1" ht="14.25" hidden="1" customHeight="1" thickBot="1">
      <c r="A73" s="188"/>
      <c r="B73" s="233">
        <v>19</v>
      </c>
      <c r="C73" s="680" t="s">
        <v>577</v>
      </c>
      <c r="D73" s="680"/>
      <c r="E73" s="678" t="s">
        <v>292</v>
      </c>
      <c r="F73" s="679"/>
      <c r="G73" s="667">
        <f>'Subaward Calculator'!B41</f>
        <v>0</v>
      </c>
      <c r="H73" s="668"/>
      <c r="I73" s="669"/>
      <c r="J73" s="374">
        <f t="shared" si="9"/>
        <v>25000</v>
      </c>
      <c r="K73" s="682">
        <f>'Subaward Calculator'!E42</f>
        <v>0</v>
      </c>
      <c r="L73" s="766"/>
      <c r="M73" s="231"/>
      <c r="N73" s="682">
        <f>'Subaward Calculator'!G42</f>
        <v>0</v>
      </c>
      <c r="O73" s="683"/>
      <c r="P73" s="486">
        <f>'Subaward Calculator'!B42</f>
        <v>0</v>
      </c>
      <c r="Q73" s="675"/>
      <c r="R73" s="675"/>
      <c r="S73" s="675"/>
      <c r="T73" s="371" t="s">
        <v>245</v>
      </c>
      <c r="U73" s="117" t="s">
        <v>223</v>
      </c>
    </row>
    <row r="74" spans="1:21" s="2" customFormat="1" ht="14.25" customHeight="1" thickBot="1">
      <c r="A74" s="188" t="s">
        <v>94</v>
      </c>
      <c r="B74" s="149"/>
      <c r="C74" s="149"/>
      <c r="D74" s="152"/>
      <c r="E74" s="153"/>
      <c r="F74" s="153"/>
      <c r="G74" s="153"/>
      <c r="H74" s="149"/>
      <c r="I74" s="151"/>
      <c r="J74" s="149"/>
      <c r="K74" s="752">
        <f>SUM(K55:K73)</f>
        <v>0</v>
      </c>
      <c r="L74" s="753"/>
      <c r="M74" s="231"/>
      <c r="N74" s="767">
        <f>SUM(N55:N73)</f>
        <v>0</v>
      </c>
      <c r="O74" s="772"/>
      <c r="P74" s="238"/>
      <c r="Q74" s="231"/>
      <c r="R74" s="231"/>
      <c r="S74" s="231"/>
      <c r="T74" s="239"/>
      <c r="U74" s="117" t="s">
        <v>219</v>
      </c>
    </row>
    <row r="75" spans="1:21" s="2" customFormat="1" ht="14.25" customHeight="1" thickBot="1">
      <c r="A75" s="188" t="s">
        <v>582</v>
      </c>
      <c r="B75" s="149"/>
      <c r="C75" s="149"/>
      <c r="D75" s="150"/>
      <c r="E75" s="150"/>
      <c r="F75" s="150"/>
      <c r="G75" s="150"/>
      <c r="H75" s="149"/>
      <c r="I75" s="151"/>
      <c r="J75" s="149"/>
      <c r="K75" s="752">
        <f>SUM(K43+K50+K53+K74)</f>
        <v>0</v>
      </c>
      <c r="L75" s="753"/>
      <c r="M75" s="231"/>
      <c r="N75" s="767">
        <f>SUM(N43+N50+N53+N74)</f>
        <v>0</v>
      </c>
      <c r="O75" s="772"/>
      <c r="P75" s="238"/>
      <c r="Q75" s="231"/>
      <c r="R75" s="231"/>
      <c r="S75" s="231"/>
      <c r="T75" s="240"/>
      <c r="U75" s="117" t="s">
        <v>219</v>
      </c>
    </row>
    <row r="76" spans="1:21" s="2" customFormat="1" ht="14.25" customHeight="1" thickBot="1">
      <c r="A76" s="188" t="str">
        <f>IF('Appendix C-Grants.gov Form Info'!J1&gt;0,IF(AND(SUM(K62:K73)&gt;0,'Subaward Calculator'!AD46=0),"","     Total NU Direct Costs and Subaward Direct Costs"),"")</f>
        <v/>
      </c>
      <c r="B76" s="149"/>
      <c r="C76" s="149"/>
      <c r="D76" s="150"/>
      <c r="E76" s="150"/>
      <c r="F76" s="150"/>
      <c r="G76" s="150"/>
      <c r="H76" s="149"/>
      <c r="I76" s="151"/>
      <c r="J76" s="149"/>
      <c r="K76" s="752" t="str">
        <f>IF('Appendix C-Grants.gov Form Info'!J1&gt;0,IF(AND(SUM(K62:K73)&gt;0,'Subaward Calculator'!AD46=0),"",SUM(K43+K50+K53+K74)-'Subaward Calculator'!E46+'Subaward Calculator'!E44),"")</f>
        <v/>
      </c>
      <c r="L76" s="753"/>
      <c r="M76" s="231"/>
      <c r="N76" s="241"/>
      <c r="O76" s="242"/>
      <c r="P76" s="231"/>
      <c r="Q76" s="231"/>
      <c r="R76" s="231"/>
      <c r="S76" s="231"/>
      <c r="T76" s="240"/>
      <c r="U76" s="117" t="s">
        <v>219</v>
      </c>
    </row>
    <row r="77" spans="1:21" s="2" customFormat="1" ht="14.25" customHeight="1">
      <c r="A77" s="687"/>
      <c r="B77" s="688"/>
      <c r="C77" s="688"/>
      <c r="D77" s="686" t="str">
        <f>IF(OR($L$2="No F&amp;A",$L$2="Custom"),"","Current Fiscal Year Base Rate =")</f>
        <v>Current Fiscal Year Base Rate =</v>
      </c>
      <c r="E77" s="686"/>
      <c r="F77" s="686"/>
      <c r="G77" s="816">
        <f>IF($L$2="No F&amp;A",$L$2,IF($L$2="Custom","Enter Custom Rate:",(VLOOKUP((IF($K$8&gt;=DATE(YEAR($K$8),9,1),DATE(YEAR($K$8),9,1),DATE(YEAR($K$8)-1,9,1))),Lists!A:Q,(MATCH('BP1'!$K$2&amp;" "&amp;'BP1'!$L$2,Lists!$M$1:$Q$1,0)+12),1))))</f>
        <v>0.6</v>
      </c>
      <c r="H77" s="816"/>
      <c r="I77" s="756">
        <v>0.1</v>
      </c>
      <c r="J77" s="757"/>
      <c r="K77" s="375"/>
      <c r="L77" s="54"/>
      <c r="M77" s="231"/>
      <c r="N77" s="241"/>
      <c r="O77" s="242"/>
      <c r="P77" s="231"/>
      <c r="Q77" s="231"/>
      <c r="R77" s="231"/>
      <c r="S77" s="231"/>
      <c r="T77" s="5"/>
      <c r="U77" s="117" t="s">
        <v>219</v>
      </c>
    </row>
    <row r="78" spans="1:21" s="2" customFormat="1" ht="14.25" customHeight="1" thickBot="1">
      <c r="A78" s="792" t="str">
        <f>IF(K3="MTDC","Modified Total Direct Costs (MTDC) Base =","Total Direct Costs (TDC) Base =")</f>
        <v>Modified Total Direct Costs (MTDC) Base =</v>
      </c>
      <c r="B78" s="793"/>
      <c r="C78" s="793"/>
      <c r="D78" s="793"/>
      <c r="E78" s="793"/>
      <c r="F78" s="793"/>
      <c r="G78" s="461">
        <f>IF(K3="MTDC",IF('BP1'!K5&gt;0,K75-K50-K62-K63-K64-K65-K66-K67-K68-K69-K70-K71-K72-K73-K59-K61+IF(K62&lt;25000,K62,25000)+IF(K63&lt;25000,K63,25000)+IF(K64&lt;25000,K64,25000)+IF(K65&lt;25000,K65,25000)+IF(K66&lt;25000,K66,25000)+IF(K67&lt;25000,K67,25000)+IF(K68&lt;25000,K68,25000)+IF(K69&lt;25000,K69,25000)+IF(K70&lt;25000,K70,25000)+IF(K71&lt;25000,K71,25000)+IF(K72&lt;25000,K72,25000)+IF(K73&lt;25000,K73,25000),0),IF('BP1'!K5&gt;0,K75,0))</f>
        <v>0</v>
      </c>
      <c r="H78" s="146"/>
      <c r="I78" s="146"/>
      <c r="J78" s="246"/>
      <c r="K78" s="375"/>
      <c r="L78" s="376"/>
      <c r="M78" s="231"/>
      <c r="N78" s="797" t="s">
        <v>289</v>
      </c>
      <c r="O78" s="797"/>
      <c r="P78" s="231"/>
      <c r="Q78" s="231"/>
      <c r="R78" s="231"/>
      <c r="S78" s="231"/>
      <c r="T78" s="5"/>
      <c r="U78" s="117" t="s">
        <v>219</v>
      </c>
    </row>
    <row r="79" spans="1:21" s="2" customFormat="1" ht="14.25" customHeight="1" thickBot="1">
      <c r="A79" s="794">
        <f>IF(K3="MTDC",IF(G79&gt;0,"Modified Total Direct Costs (MTDC) Cost-Share Base =",),IF(G79&gt;0,"Total Direct Costs (TDC) Cost-Share Base =",))</f>
        <v>0</v>
      </c>
      <c r="B79" s="795"/>
      <c r="C79" s="795"/>
      <c r="D79" s="795"/>
      <c r="E79" s="795"/>
      <c r="F79" s="795"/>
      <c r="G79" s="504">
        <f>IF(K3="MTDC",IF('BP1'!K5&gt;0,N75-N50-N59-N61-N62-N63-N64-N65-N66-N67-N68-N69-N70-N71-N72-N73,0),IF('BP1'!K5&gt;0,N75,0))</f>
        <v>0</v>
      </c>
      <c r="H79" s="796" t="s">
        <v>217</v>
      </c>
      <c r="I79" s="796"/>
      <c r="J79" s="796"/>
      <c r="K79" s="752">
        <f ca="1">IF($L$2="No F&amp;A",0,(IF($L$2="Custom",$I$77,(AVERAGEIFS(INDIRECT(SUBSTITUTE(SUBSTITUTE(CONCATENATE($K$2,$L$2)," ",""),"-","")),StartDateList,"&gt;="&amp;(DATE(YEAR($K$8),MONTH($K$8),1)),StartDateList,"&lt;="&amp;$K$10))))*$G$78)</f>
        <v>0</v>
      </c>
      <c r="L79" s="753"/>
      <c r="M79" s="356"/>
      <c r="N79" s="767">
        <f ca="1">IF($L$2="No F&amp;A",0,(IF($L$2="Custom",$I$77,(AVERAGEIFS(INDIRECT(SUBSTITUTE(SUBSTITUTE(CONCATENATE($K$2,$L$2)," ",""),"-","")),StartDateList,"&gt;="&amp;(DATE(YEAR($K$8),MONTH($K$8),1)),StartDateList,"&lt;="&amp;$K$10))))*$G$79)</f>
        <v>0</v>
      </c>
      <c r="O79" s="772"/>
      <c r="P79" s="231"/>
      <c r="Q79" s="231"/>
      <c r="R79" s="231"/>
      <c r="S79" s="231"/>
      <c r="T79" s="5"/>
      <c r="U79" s="117" t="s">
        <v>219</v>
      </c>
    </row>
    <row r="80" spans="1:21" s="2" customFormat="1" ht="14.25" customHeight="1" thickBot="1">
      <c r="A80" s="188" t="s">
        <v>96</v>
      </c>
      <c r="B80" s="149"/>
      <c r="C80" s="149"/>
      <c r="D80" s="150"/>
      <c r="E80" s="150"/>
      <c r="F80" s="150"/>
      <c r="G80" s="150"/>
      <c r="H80" s="149"/>
      <c r="I80" s="151"/>
      <c r="J80" s="149"/>
      <c r="K80" s="752">
        <f ca="1">ROUND(K75,0)+ROUND(K79,0)</f>
        <v>0</v>
      </c>
      <c r="L80" s="753"/>
      <c r="M80" s="356"/>
      <c r="N80" s="770">
        <f ca="1">ROUND(N75,0)+ROUND(N79,0)</f>
        <v>0</v>
      </c>
      <c r="O80" s="771"/>
      <c r="P80" s="238"/>
      <c r="Q80" s="231"/>
      <c r="R80" s="231"/>
      <c r="S80" s="231"/>
      <c r="T80" s="5"/>
      <c r="U80" s="117" t="s">
        <v>219</v>
      </c>
    </row>
    <row r="81" spans="1:21" ht="14.25" customHeight="1" thickBot="1">
      <c r="M81" s="231"/>
      <c r="P81" s="1"/>
      <c r="Q81" s="1"/>
      <c r="R81" s="1"/>
      <c r="S81" s="1"/>
      <c r="T81" s="1"/>
      <c r="U81" s="117" t="s">
        <v>219</v>
      </c>
    </row>
    <row r="82" spans="1:21" ht="14.25" customHeight="1" thickBot="1">
      <c r="A82" s="188" t="s">
        <v>584</v>
      </c>
      <c r="B82" s="149"/>
      <c r="C82" s="149"/>
      <c r="D82" s="150"/>
      <c r="E82" s="150"/>
      <c r="F82" s="150"/>
      <c r="G82" s="150"/>
      <c r="H82" s="149"/>
      <c r="I82" s="151"/>
      <c r="J82" s="149"/>
      <c r="K82" s="752">
        <f>'BP1'!K75+'BP2'!K75+'BP3'!K75+'BP4'!K75+'BP5'!K75</f>
        <v>0</v>
      </c>
      <c r="L82" s="753"/>
      <c r="M82" s="231"/>
      <c r="N82" s="767">
        <f ca="1">'BP1'!N75+'BP2'!N75+'BP3'!N75+'BP4'!N75+'BP5'!N75</f>
        <v>0</v>
      </c>
      <c r="O82" s="772"/>
      <c r="P82" s="1"/>
      <c r="Q82" s="1"/>
      <c r="R82" s="1"/>
      <c r="S82" s="1"/>
      <c r="T82" s="1"/>
      <c r="U82" s="117" t="s">
        <v>219</v>
      </c>
    </row>
    <row r="83" spans="1:21" ht="14.25" customHeight="1" thickBot="1">
      <c r="A83" s="188" t="str">
        <f>IF(AND(SUM(K62:K73)&gt;0,'Subaward Calculator'!AD46=0),"","     Cumulative Total NU Direct Costs and Subaward Direct Costs")</f>
        <v xml:space="preserve">     Cumulative Total NU Direct Costs and Subaward Direct Costs</v>
      </c>
      <c r="B83" s="149"/>
      <c r="C83" s="149"/>
      <c r="D83" s="150"/>
      <c r="E83" s="150"/>
      <c r="F83" s="150"/>
      <c r="G83" s="150"/>
      <c r="H83" s="149"/>
      <c r="I83" s="151"/>
      <c r="J83" s="149"/>
      <c r="K83" s="752">
        <f>IF(AND(SUM(K62:K73)&gt;0,'Subaward Calculator'!AD46=0),"",'BP1'!K75+'BP2'!K75+'BP3'!K75+'BP4'!K75+'BP5'!K75-'Subaward Calculator'!AD46+'Subaward Calculator'!AD44)</f>
        <v>0</v>
      </c>
      <c r="L83" s="753"/>
      <c r="M83" s="231"/>
      <c r="N83" s="502"/>
      <c r="O83" s="502"/>
      <c r="P83" s="1"/>
      <c r="Q83" s="1"/>
      <c r="R83" s="1"/>
      <c r="S83" s="1"/>
      <c r="T83" s="1"/>
      <c r="U83" s="117" t="s">
        <v>219</v>
      </c>
    </row>
    <row r="84" spans="1:21" ht="14.25" customHeight="1" thickBot="1">
      <c r="A84" s="188" t="s">
        <v>464</v>
      </c>
      <c r="B84" s="149"/>
      <c r="C84" s="149"/>
      <c r="D84" s="150"/>
      <c r="E84" s="150"/>
      <c r="F84" s="150"/>
      <c r="G84" s="150"/>
      <c r="H84" s="149"/>
      <c r="I84" s="151"/>
      <c r="J84" s="149"/>
      <c r="K84" s="752">
        <f ca="1">'BP1'!K80+'BP2'!K80+'BP3'!K80+'BP4'!K80+'BP5'!K80</f>
        <v>0</v>
      </c>
      <c r="L84" s="753"/>
      <c r="M84" s="231"/>
      <c r="N84" s="767">
        <f ca="1">'BP1'!N80+'BP2'!N80+'BP3'!N80+'BP4'!N80+'BP5'!N80</f>
        <v>0</v>
      </c>
      <c r="O84" s="772"/>
      <c r="P84" s="1"/>
      <c r="Q84" s="1"/>
      <c r="R84" s="1"/>
      <c r="S84" s="1"/>
      <c r="T84" s="1"/>
      <c r="U84" s="117" t="s">
        <v>219</v>
      </c>
    </row>
    <row r="85" spans="1:21" ht="14.25" customHeight="1" thickBot="1">
      <c r="A85" s="262"/>
      <c r="B85" s="263"/>
      <c r="C85" s="263"/>
      <c r="D85" s="261"/>
      <c r="E85" s="261"/>
      <c r="F85" s="261"/>
      <c r="G85" s="261"/>
      <c r="H85" s="263"/>
      <c r="I85" s="264"/>
      <c r="J85" s="263"/>
      <c r="K85" s="237"/>
      <c r="L85" s="237"/>
      <c r="M85" s="231"/>
      <c r="N85" s="237"/>
      <c r="O85" s="237"/>
      <c r="P85" s="1"/>
      <c r="Q85" s="1"/>
      <c r="R85" s="1"/>
      <c r="S85" s="1"/>
      <c r="T85" s="1"/>
      <c r="U85" s="117" t="s">
        <v>219</v>
      </c>
    </row>
    <row r="86" spans="1:21" ht="14.25" customHeight="1" thickBot="1">
      <c r="A86" s="1"/>
      <c r="K86" s="777"/>
      <c r="L86" s="777"/>
      <c r="N86" s="778">
        <f>$A$5</f>
        <v>1</v>
      </c>
      <c r="O86" s="779"/>
      <c r="P86" s="780" t="s">
        <v>423</v>
      </c>
      <c r="Q86" s="781"/>
      <c r="U86" s="117" t="s">
        <v>219</v>
      </c>
    </row>
    <row r="87" spans="1:21" ht="14.25" customHeight="1" thickBot="1">
      <c r="A87" s="1"/>
      <c r="G87" s="786" t="str">
        <f ca="1">IF(('BP1'!$N$80+'BP2'!$N$80+'BP3'!$N$80+'BP4'!$N$80+'BP5'!$N$80)&gt;0,"NORTHWESTERN COST-SHARE","")</f>
        <v/>
      </c>
      <c r="H87" s="786"/>
      <c r="I87" s="786"/>
      <c r="J87" s="786"/>
      <c r="K87" s="786"/>
      <c r="L87" s="786" t="str">
        <f ca="1">IF(('BP1'!$N$80+'BP2'!$N$80+'BP3'!$N$80+'BP4'!$N$80+'BP5'!$N$80)&gt;0,"NORTHWESTERN COST-SHARE","")</f>
        <v/>
      </c>
      <c r="N87" s="752">
        <f ca="1">N80-SUM(N62:N73)</f>
        <v>0</v>
      </c>
      <c r="O87" s="753"/>
      <c r="P87" s="782">
        <f ca="1">'BP1'!$N$87+'BP2'!$N$87+'BP3'!$N$87+'BP4'!$N$87+'BP5'!$N$87</f>
        <v>0</v>
      </c>
      <c r="Q87" s="783">
        <f>'BP1'!Q78+'BP2'!Q78+'BP3'!Q78+'BP4'!Q78+'BP5'!Q78</f>
        <v>0</v>
      </c>
      <c r="U87" s="117"/>
    </row>
    <row r="88" spans="1:21" ht="14.25" customHeight="1" thickBot="1">
      <c r="A88" s="1"/>
      <c r="G88" s="786" t="str">
        <f ca="1">IF(('BP1'!$N$80+'BP2'!$N$80+'BP3'!$N$80+'BP4'!$N$80+'BP5'!$N$80)&gt;0,"SUBAWARD COST-SHARE","")</f>
        <v/>
      </c>
      <c r="H88" s="786"/>
      <c r="I88" s="786"/>
      <c r="J88" s="786"/>
      <c r="K88" s="786"/>
      <c r="L88" s="786"/>
      <c r="M88" s="1"/>
      <c r="N88" s="752">
        <f>SUM(N62:N73)</f>
        <v>0</v>
      </c>
      <c r="O88" s="753"/>
      <c r="P88" s="782">
        <f>'BP1'!$N$88+'BP2'!$N$88+'BP3'!$N$88+'BP4'!$N$88+'BP5'!$N$88</f>
        <v>0</v>
      </c>
      <c r="Q88" s="783">
        <f>'BP1'!Q79+'BP2'!Q79+'BP3'!Q79+'BP4'!Q79+'BP5'!Q79</f>
        <v>0</v>
      </c>
      <c r="U88" s="117" t="s">
        <v>219</v>
      </c>
    </row>
    <row r="89" spans="1:21" ht="14.25" customHeight="1" thickBot="1">
      <c r="A89" s="1"/>
      <c r="F89" s="261"/>
      <c r="G89" s="786" t="str">
        <f ca="1">IF(('BP1'!$N$80+'BP2'!$N$80+'BP3'!$N$80+'BP4'!$N$80+'BP5'!$N$80)&gt;0,"THIRD PARTY COST-SHARE","")</f>
        <v/>
      </c>
      <c r="H89" s="786"/>
      <c r="I89" s="786"/>
      <c r="J89" s="786"/>
      <c r="K89" s="786"/>
      <c r="L89" s="786"/>
      <c r="M89" s="1"/>
      <c r="N89" s="787"/>
      <c r="O89" s="788"/>
      <c r="P89" s="782">
        <f>'BP1'!$N$89+'BP2'!$N$89+'BP3'!$N$89+'BP4'!$N$89+'BP5'!$N$89</f>
        <v>0</v>
      </c>
      <c r="Q89" s="783">
        <f>'BP1'!Q78+'BP2'!Q78+'BP3'!Q78+'BP4'!Q78+'BP5'!Q78</f>
        <v>0</v>
      </c>
      <c r="U89" s="117" t="s">
        <v>219</v>
      </c>
    </row>
    <row r="90" spans="1:21" ht="14.25" customHeight="1" thickBot="1">
      <c r="A90" s="1"/>
      <c r="F90" s="259"/>
      <c r="G90" s="786" t="str">
        <f ca="1">IF(('BP1'!$N$80+'BP2'!$N$80+'BP3'!$N$80+'BP4'!$N$80+'BP5'!$N$80)&gt;0,"TOTAL COST-SHARED","")</f>
        <v/>
      </c>
      <c r="H90" s="786"/>
      <c r="I90" s="786"/>
      <c r="J90" s="786"/>
      <c r="K90" s="786"/>
      <c r="L90" s="786"/>
      <c r="M90" s="1"/>
      <c r="N90" s="752">
        <f ca="1">$N$80+$N$89</f>
        <v>0</v>
      </c>
      <c r="O90" s="753"/>
      <c r="P90" s="782">
        <f ca="1">'BP1'!$N$90+'BP2'!$N$90+'BP3'!$N$90+'BP4'!$N$90+'BP5'!$N$90</f>
        <v>0</v>
      </c>
      <c r="Q90" s="783">
        <f>'BP1'!Q79+'BP2'!Q79+'BP3'!Q79+'BP4'!Q79+'BP5'!Q79</f>
        <v>0</v>
      </c>
      <c r="U90" s="117" t="s">
        <v>219</v>
      </c>
    </row>
    <row r="91" spans="1:21" ht="14.25" customHeight="1" thickBot="1">
      <c r="A91" s="1"/>
      <c r="F91" s="784" t="str">
        <f ca="1">IF(('BP1'!$N$80+'BP2'!$N$80+'BP3'!$N$80+'BP4'!$N$80+'BP5'!$N$80)&gt;0,"TOTAL SPONSOR COSTS","")</f>
        <v/>
      </c>
      <c r="G91" s="784"/>
      <c r="H91" s="784"/>
      <c r="I91" s="784"/>
      <c r="J91" s="784"/>
      <c r="K91" s="784"/>
      <c r="L91" s="784"/>
      <c r="M91" s="1"/>
      <c r="N91" s="752">
        <f ca="1">IF(('BP1'!$N$80+'BP2'!$N$80+'BP3'!$N$80+'BP4'!$N$80+'BP5'!$N$80)&gt;0,$K$80,)</f>
        <v>0</v>
      </c>
      <c r="O91" s="753"/>
      <c r="P91" s="782">
        <f ca="1">'BP1'!$N$91+'BP2'!$N$91+'BP3'!$N$91+'BP4'!$N$91+'BP5'!$N$91</f>
        <v>0</v>
      </c>
      <c r="Q91" s="783">
        <f>'BP1'!Q80+'BP2'!Q80+'BP3'!Q80+'BP4'!Q80+'BP5'!Q80</f>
        <v>0</v>
      </c>
      <c r="R91" s="321"/>
      <c r="S91" s="321"/>
      <c r="U91" s="117" t="s">
        <v>219</v>
      </c>
    </row>
    <row r="92" spans="1:21" ht="14.25" customHeight="1" thickBot="1">
      <c r="A92" s="1"/>
      <c r="F92" s="575"/>
      <c r="G92" s="575"/>
      <c r="H92" s="575"/>
      <c r="I92" s="575"/>
      <c r="J92" s="575"/>
      <c r="K92" s="575"/>
      <c r="L92" s="575" t="str">
        <f ca="1">IF(('BP1'!$N$80+'BP2'!$N$80+'BP3'!$N$80+'BP4'!$N$80+'BP5'!$N$80)&gt;0,"NORTHWESTERN SPONSOR COSTS","")</f>
        <v/>
      </c>
      <c r="M92" s="1"/>
      <c r="N92" s="803">
        <f ca="1">IF(('BP1'!$N$80+'BP2'!$N$80+'BP3'!$N$80+'BP4'!$N$80+'BP5'!$N$80)&gt;0,$K$80-SUM(K62:L73),)</f>
        <v>0</v>
      </c>
      <c r="O92" s="804"/>
      <c r="P92" s="782">
        <f ca="1">'BP1'!$N$92+'BP2'!$N$92+'BP3'!$N$92+'BP4'!$N$92+'BP5'!$N$92</f>
        <v>0</v>
      </c>
      <c r="Q92" s="783">
        <f>'BP1'!Q81+'BP2'!Q81+'BP3'!Q81+'BP4'!Q81+'BP5'!Q81</f>
        <v>0</v>
      </c>
      <c r="R92" s="321"/>
      <c r="S92" s="321"/>
      <c r="U92" s="117" t="s">
        <v>219</v>
      </c>
    </row>
    <row r="93" spans="1:21" ht="14.25" customHeight="1" thickBot="1">
      <c r="A93" s="1"/>
      <c r="F93" s="259"/>
      <c r="G93" s="784" t="str">
        <f ca="1">IF(('BP1'!$N$80+'BP2'!$N$80+'BP3'!$N$80+'BP4'!$N$80+'BP5'!$N$80)&gt;0,"PROJECT COSTS","")</f>
        <v/>
      </c>
      <c r="H93" s="784"/>
      <c r="I93" s="784"/>
      <c r="J93" s="784"/>
      <c r="K93" s="784"/>
      <c r="L93" s="784"/>
      <c r="M93" s="1"/>
      <c r="N93" s="752">
        <f ca="1">IF(('BP1'!$N$80+'BP2'!$N$80+'BP3'!$N$80+'BP4'!$N$80+'BP5'!$N$80)&gt;0,$N$91+$N$90,)</f>
        <v>0</v>
      </c>
      <c r="O93" s="753"/>
      <c r="P93" s="782">
        <f ca="1">'BP1'!$N$93+'BP2'!$N$93+'BP3'!$N$93+'BP4'!$N$93+'BP5'!$N$93</f>
        <v>0</v>
      </c>
      <c r="Q93" s="783">
        <f>'BP1'!Q81+'BP2'!Q81+'BP3'!Q81+'BP4'!Q81+'BP5'!Q81</f>
        <v>0</v>
      </c>
      <c r="R93" s="321"/>
      <c r="S93" s="321"/>
      <c r="U93" s="117" t="s">
        <v>219</v>
      </c>
    </row>
    <row r="94" spans="1:21" ht="14.25" customHeight="1" thickBot="1">
      <c r="A94" s="1"/>
      <c r="F94" s="260"/>
      <c r="G94" s="785" t="str">
        <f ca="1">IF(('BP1'!$N$80+'BP2'!$N$80+'BP3'!$N$80+'BP4'!$N$80+'BP5'!$N$80)&gt;0,"COST-SHARE AS % OF SPONSOR COSTS","")</f>
        <v/>
      </c>
      <c r="H94" s="785"/>
      <c r="I94" s="785"/>
      <c r="J94" s="785"/>
      <c r="K94" s="785"/>
      <c r="L94" s="785"/>
      <c r="M94" s="1"/>
      <c r="N94" s="775">
        <f ca="1">IFERROR($N$90/$N$91,)</f>
        <v>0</v>
      </c>
      <c r="O94" s="776"/>
      <c r="P94" s="773">
        <f ca="1">IFERROR($P$90/$P$91,)</f>
        <v>0</v>
      </c>
      <c r="Q94" s="774"/>
      <c r="R94" s="321"/>
      <c r="S94" s="321"/>
      <c r="U94" s="117" t="s">
        <v>219</v>
      </c>
    </row>
    <row r="95" spans="1:21" ht="14.25" customHeight="1" thickBot="1">
      <c r="A95" s="1"/>
      <c r="F95" s="784" t="str">
        <f ca="1">IF(('BP1'!$N$80+'BP2'!$N$80+'BP3'!$N$80+'BP4'!$N$80+'BP5'!$N$80)&gt;0,"COST-SHARE AS % OF PROJECT COSTS","")</f>
        <v/>
      </c>
      <c r="G95" s="784"/>
      <c r="H95" s="784"/>
      <c r="I95" s="784"/>
      <c r="J95" s="784"/>
      <c r="K95" s="784"/>
      <c r="L95" s="784"/>
      <c r="M95" s="1"/>
      <c r="N95" s="775">
        <f ca="1">IFERROR($N$90/$N$93,)</f>
        <v>0</v>
      </c>
      <c r="O95" s="776"/>
      <c r="P95" s="773">
        <f ca="1">IFERROR($P$90/$P$93,)</f>
        <v>0</v>
      </c>
      <c r="Q95" s="774"/>
      <c r="R95" s="323"/>
      <c r="S95" s="323"/>
      <c r="U95" s="117" t="s">
        <v>219</v>
      </c>
    </row>
    <row r="96" spans="1:21" ht="15">
      <c r="A96" s="1"/>
      <c r="R96" s="322"/>
      <c r="S96" s="322"/>
      <c r="U96" s="117"/>
    </row>
    <row r="97" spans="1:21">
      <c r="A97" s="1"/>
      <c r="U97" s="117"/>
    </row>
    <row r="98" spans="1:21">
      <c r="A98" s="1"/>
    </row>
    <row r="99" spans="1:21">
      <c r="A99" s="1"/>
    </row>
    <row r="100" spans="1:21">
      <c r="A100" s="1"/>
    </row>
    <row r="101" spans="1:21">
      <c r="A101" s="1"/>
    </row>
    <row r="102" spans="1:21">
      <c r="A102" s="1"/>
    </row>
    <row r="103" spans="1:21">
      <c r="A103" s="1"/>
    </row>
    <row r="104" spans="1:21">
      <c r="A104" s="1"/>
    </row>
    <row r="105" spans="1:21">
      <c r="A105" s="1"/>
    </row>
    <row r="106" spans="1:21">
      <c r="A106" s="1"/>
    </row>
    <row r="107" spans="1:21">
      <c r="A107" s="1"/>
    </row>
    <row r="108" spans="1:21">
      <c r="A108" s="1"/>
    </row>
    <row r="109" spans="1:21">
      <c r="A109" s="1"/>
    </row>
    <row r="110" spans="1:21">
      <c r="A110" s="1"/>
    </row>
    <row r="111" spans="1:21">
      <c r="A111" s="1"/>
    </row>
    <row r="112" spans="1:21">
      <c r="A112" s="1"/>
    </row>
    <row r="113" spans="1:1">
      <c r="A113" s="1"/>
    </row>
  </sheetData>
  <autoFilter ref="U1:U95" xr:uid="{00000000-0009-0000-0000-000002000000}">
    <filterColumn colId="0">
      <filters blank="1">
        <filter val="A) Condensed"/>
      </filters>
    </filterColumn>
  </autoFilter>
  <mergeCells count="256">
    <mergeCell ref="Q63:S63"/>
    <mergeCell ref="N92:O92"/>
    <mergeCell ref="P92:Q92"/>
    <mergeCell ref="P87:Q87"/>
    <mergeCell ref="G87:L87"/>
    <mergeCell ref="N87:O87"/>
    <mergeCell ref="P1:S2"/>
    <mergeCell ref="P3:T13"/>
    <mergeCell ref="G77:H77"/>
    <mergeCell ref="N84:O84"/>
    <mergeCell ref="N58:O58"/>
    <mergeCell ref="N59:O59"/>
    <mergeCell ref="N60:O60"/>
    <mergeCell ref="N61:O61"/>
    <mergeCell ref="N62:O62"/>
    <mergeCell ref="N63:O63"/>
    <mergeCell ref="N64:O64"/>
    <mergeCell ref="N65:O65"/>
    <mergeCell ref="N66:O66"/>
    <mergeCell ref="G62:I62"/>
    <mergeCell ref="K73:L73"/>
    <mergeCell ref="K71:L71"/>
    <mergeCell ref="K80:L80"/>
    <mergeCell ref="K74:L74"/>
    <mergeCell ref="P52:S52"/>
    <mergeCell ref="P53:S53"/>
    <mergeCell ref="P54:S54"/>
    <mergeCell ref="P55:S55"/>
    <mergeCell ref="P56:S56"/>
    <mergeCell ref="P57:S57"/>
    <mergeCell ref="P58:S58"/>
    <mergeCell ref="P60:S60"/>
    <mergeCell ref="Q62:S62"/>
    <mergeCell ref="Q61:S61"/>
    <mergeCell ref="P59:S59"/>
    <mergeCell ref="Q32:S32"/>
    <mergeCell ref="Q33:S33"/>
    <mergeCell ref="Q38:S38"/>
    <mergeCell ref="Q39:S39"/>
    <mergeCell ref="Q40:S40"/>
    <mergeCell ref="P45:S45"/>
    <mergeCell ref="P44:S44"/>
    <mergeCell ref="N41:O41"/>
    <mergeCell ref="N42:O42"/>
    <mergeCell ref="N43:O43"/>
    <mergeCell ref="Q34:S34"/>
    <mergeCell ref="Q35:S35"/>
    <mergeCell ref="Q36:S36"/>
    <mergeCell ref="Q37:S37"/>
    <mergeCell ref="Q14:R14"/>
    <mergeCell ref="Q15:R15"/>
    <mergeCell ref="Q16:R16"/>
    <mergeCell ref="Q17:R17"/>
    <mergeCell ref="Q18:R18"/>
    <mergeCell ref="Q19:R19"/>
    <mergeCell ref="Q20:R20"/>
    <mergeCell ref="Q21:R21"/>
    <mergeCell ref="Q31:S31"/>
    <mergeCell ref="K43:L43"/>
    <mergeCell ref="B45:F45"/>
    <mergeCell ref="H13:J13"/>
    <mergeCell ref="B26:D26"/>
    <mergeCell ref="N74:O74"/>
    <mergeCell ref="N75:O75"/>
    <mergeCell ref="K76:L76"/>
    <mergeCell ref="A78:F78"/>
    <mergeCell ref="A79:F79"/>
    <mergeCell ref="H79:J79"/>
    <mergeCell ref="N78:O78"/>
    <mergeCell ref="N45:O45"/>
    <mergeCell ref="N46:O46"/>
    <mergeCell ref="N47:O47"/>
    <mergeCell ref="N48:O48"/>
    <mergeCell ref="N49:O49"/>
    <mergeCell ref="N50:O50"/>
    <mergeCell ref="N51:O51"/>
    <mergeCell ref="N71:O71"/>
    <mergeCell ref="N72:O72"/>
    <mergeCell ref="N79:O79"/>
    <mergeCell ref="E66:F66"/>
    <mergeCell ref="E67:F67"/>
    <mergeCell ref="G63:I63"/>
    <mergeCell ref="P95:Q95"/>
    <mergeCell ref="N91:O91"/>
    <mergeCell ref="N93:O93"/>
    <mergeCell ref="N94:O94"/>
    <mergeCell ref="N95:O95"/>
    <mergeCell ref="K86:L86"/>
    <mergeCell ref="N86:O86"/>
    <mergeCell ref="P86:Q86"/>
    <mergeCell ref="P89:Q89"/>
    <mergeCell ref="P90:Q90"/>
    <mergeCell ref="P91:Q91"/>
    <mergeCell ref="P93:Q93"/>
    <mergeCell ref="P94:Q94"/>
    <mergeCell ref="N90:O90"/>
    <mergeCell ref="F91:L91"/>
    <mergeCell ref="G93:L93"/>
    <mergeCell ref="G94:L94"/>
    <mergeCell ref="G89:L89"/>
    <mergeCell ref="N89:O89"/>
    <mergeCell ref="G88:L88"/>
    <mergeCell ref="P88:Q88"/>
    <mergeCell ref="N88:O88"/>
    <mergeCell ref="G90:L90"/>
    <mergeCell ref="F95:L95"/>
    <mergeCell ref="K84:L84"/>
    <mergeCell ref="K63:L63"/>
    <mergeCell ref="K64:L64"/>
    <mergeCell ref="K70:L70"/>
    <mergeCell ref="K83:L83"/>
    <mergeCell ref="N52:O52"/>
    <mergeCell ref="N53:O53"/>
    <mergeCell ref="N55:O55"/>
    <mergeCell ref="N67:O67"/>
    <mergeCell ref="N68:O68"/>
    <mergeCell ref="N69:O69"/>
    <mergeCell ref="N70:O70"/>
    <mergeCell ref="N56:O56"/>
    <mergeCell ref="N57:O57"/>
    <mergeCell ref="N80:O80"/>
    <mergeCell ref="K79:L79"/>
    <mergeCell ref="K72:L72"/>
    <mergeCell ref="K65:L65"/>
    <mergeCell ref="K82:L82"/>
    <mergeCell ref="N82:O82"/>
    <mergeCell ref="K75:L75"/>
    <mergeCell ref="G65:I65"/>
    <mergeCell ref="G66:I66"/>
    <mergeCell ref="K48:L48"/>
    <mergeCell ref="C55:J55"/>
    <mergeCell ref="G69:I69"/>
    <mergeCell ref="G67:I67"/>
    <mergeCell ref="G68:I68"/>
    <mergeCell ref="K66:L66"/>
    <mergeCell ref="K67:L67"/>
    <mergeCell ref="K68:L68"/>
    <mergeCell ref="K69:L69"/>
    <mergeCell ref="K62:L62"/>
    <mergeCell ref="K60:L60"/>
    <mergeCell ref="I77:J77"/>
    <mergeCell ref="K46:L46"/>
    <mergeCell ref="B48:F48"/>
    <mergeCell ref="B49:F49"/>
    <mergeCell ref="C58:J58"/>
    <mergeCell ref="C61:J61"/>
    <mergeCell ref="K61:L61"/>
    <mergeCell ref="C59:J59"/>
    <mergeCell ref="C60:J60"/>
    <mergeCell ref="H51:J51"/>
    <mergeCell ref="H52:J52"/>
    <mergeCell ref="H53:J53"/>
    <mergeCell ref="K50:L50"/>
    <mergeCell ref="K56:L56"/>
    <mergeCell ref="K53:L53"/>
    <mergeCell ref="K52:L52"/>
    <mergeCell ref="K55:L55"/>
    <mergeCell ref="C68:D68"/>
    <mergeCell ref="C56:J56"/>
    <mergeCell ref="C57:J57"/>
    <mergeCell ref="C71:D71"/>
    <mergeCell ref="E63:F63"/>
    <mergeCell ref="E64:F64"/>
    <mergeCell ref="E65:F65"/>
    <mergeCell ref="B29:D29"/>
    <mergeCell ref="A30:F30"/>
    <mergeCell ref="K57:L57"/>
    <mergeCell ref="N12:O13"/>
    <mergeCell ref="M10:O11"/>
    <mergeCell ref="B25:D25"/>
    <mergeCell ref="B16:D16"/>
    <mergeCell ref="B17:D17"/>
    <mergeCell ref="B18:D18"/>
    <mergeCell ref="B19:D19"/>
    <mergeCell ref="B20:D20"/>
    <mergeCell ref="B21:D21"/>
    <mergeCell ref="B22:D22"/>
    <mergeCell ref="B23:D23"/>
    <mergeCell ref="B24:D24"/>
    <mergeCell ref="E14:F14"/>
    <mergeCell ref="B15:D15"/>
    <mergeCell ref="K41:L41"/>
    <mergeCell ref="B47:F47"/>
    <mergeCell ref="K45:L45"/>
    <mergeCell ref="K49:L49"/>
    <mergeCell ref="K51:L51"/>
    <mergeCell ref="K47:L47"/>
    <mergeCell ref="K42:L42"/>
    <mergeCell ref="G12:G14"/>
    <mergeCell ref="H12:J12"/>
    <mergeCell ref="M1:O9"/>
    <mergeCell ref="K12:L13"/>
    <mergeCell ref="E11:G11"/>
    <mergeCell ref="K7:L7"/>
    <mergeCell ref="K3:L3"/>
    <mergeCell ref="A9:D9"/>
    <mergeCell ref="A11:D11"/>
    <mergeCell ref="A5:J6"/>
    <mergeCell ref="A1:J4"/>
    <mergeCell ref="K1:L1"/>
    <mergeCell ref="K4:L4"/>
    <mergeCell ref="K5:L5"/>
    <mergeCell ref="K6:L6"/>
    <mergeCell ref="K8:L9"/>
    <mergeCell ref="K10:L11"/>
    <mergeCell ref="H10:J11"/>
    <mergeCell ref="H8:J9"/>
    <mergeCell ref="E9:G9"/>
    <mergeCell ref="B27:D27"/>
    <mergeCell ref="B28:D28"/>
    <mergeCell ref="N73:O73"/>
    <mergeCell ref="Q22:R22"/>
    <mergeCell ref="D77:F77"/>
    <mergeCell ref="A77:C77"/>
    <mergeCell ref="Q23:R23"/>
    <mergeCell ref="Q24:R24"/>
    <mergeCell ref="Q25:R25"/>
    <mergeCell ref="Q26:R26"/>
    <mergeCell ref="Q27:R27"/>
    <mergeCell ref="Q28:R28"/>
    <mergeCell ref="Q29:R29"/>
    <mergeCell ref="E72:F72"/>
    <mergeCell ref="E73:F73"/>
    <mergeCell ref="C72:D72"/>
    <mergeCell ref="C73:D73"/>
    <mergeCell ref="C63:D63"/>
    <mergeCell ref="C64:D64"/>
    <mergeCell ref="C65:D65"/>
    <mergeCell ref="C66:D66"/>
    <mergeCell ref="C67:D67"/>
    <mergeCell ref="E70:F70"/>
    <mergeCell ref="E71:F71"/>
    <mergeCell ref="G71:I71"/>
    <mergeCell ref="K59:L59"/>
    <mergeCell ref="B46:F46"/>
    <mergeCell ref="Q73:S73"/>
    <mergeCell ref="Q64:S64"/>
    <mergeCell ref="Q65:S65"/>
    <mergeCell ref="Q66:S66"/>
    <mergeCell ref="Q67:S67"/>
    <mergeCell ref="Q68:S68"/>
    <mergeCell ref="Q69:S69"/>
    <mergeCell ref="Q70:S70"/>
    <mergeCell ref="Q71:S71"/>
    <mergeCell ref="Q72:S72"/>
    <mergeCell ref="K58:L58"/>
    <mergeCell ref="E62:F62"/>
    <mergeCell ref="C62:D62"/>
    <mergeCell ref="G70:I70"/>
    <mergeCell ref="E68:F68"/>
    <mergeCell ref="E69:F69"/>
    <mergeCell ref="C69:D69"/>
    <mergeCell ref="C70:D70"/>
    <mergeCell ref="G72:I72"/>
    <mergeCell ref="G73:I73"/>
    <mergeCell ref="G64:I64"/>
  </mergeCells>
  <phoneticPr fontId="10" type="noConversion"/>
  <conditionalFormatting sqref="E15:E29 B15:B29">
    <cfRule type="expression" dxfId="31" priority="26">
      <formula>"IF($F$11&gt;0)"</formula>
    </cfRule>
  </conditionalFormatting>
  <conditionalFormatting sqref="I77:J77">
    <cfRule type="expression" dxfId="30" priority="7">
      <formula>$L$2&lt;&gt;"Custom"</formula>
    </cfRule>
    <cfRule type="expression" dxfId="29" priority="8">
      <formula>$L$2="Custom"</formula>
    </cfRule>
  </conditionalFormatting>
  <conditionalFormatting sqref="P88:Q95">
    <cfRule type="expression" dxfId="28" priority="4">
      <formula>$N$80&gt;0</formula>
    </cfRule>
  </conditionalFormatting>
  <conditionalFormatting sqref="S15:S29">
    <cfRule type="cellIs" dxfId="27" priority="3" operator="greaterThan">
      <formula>0</formula>
    </cfRule>
  </conditionalFormatting>
  <conditionalFormatting sqref="P86:Q86">
    <cfRule type="expression" dxfId="26" priority="2">
      <formula>$N$80&gt;0</formula>
    </cfRule>
  </conditionalFormatting>
  <conditionalFormatting sqref="P87:Q87">
    <cfRule type="expression" dxfId="25" priority="1">
      <formula>$N$80&gt;0</formula>
    </cfRule>
  </conditionalFormatting>
  <dataValidations count="7">
    <dataValidation type="list" allowBlank="1" showInputMessage="1" showErrorMessage="1" promptTitle="Project Start" prompt="Please enter your project start date; all subsequent project dates will auto-fill." sqref="K8:L9" xr:uid="{00000000-0002-0000-0200-000000000000}">
      <formula1>StartDateList</formula1>
    </dataValidation>
    <dataValidation errorStyle="warning" allowBlank="1" showInputMessage="1" sqref="K7" xr:uid="{00000000-0002-0000-0200-000001000000}"/>
    <dataValidation type="list" allowBlank="1" showInputMessage="1" showErrorMessage="1" sqref="K5" xr:uid="{00000000-0002-0000-0200-000002000000}">
      <formula1>"1,2,3,4,5"</formula1>
    </dataValidation>
    <dataValidation type="list" allowBlank="1" showInputMessage="1" showErrorMessage="1" sqref="L2" xr:uid="{00000000-0002-0000-0200-000003000000}">
      <formula1>INDIRECT((SUBSTITUTE(SUBSTITUTE(K2," ",""),"-","")))</formula1>
    </dataValidation>
    <dataValidation type="list" allowBlank="1" showErrorMessage="1" sqref="K2" xr:uid="{00000000-0002-0000-0200-000004000000}">
      <formula1>"Federal,Non-Federal"</formula1>
    </dataValidation>
    <dataValidation type="whole" allowBlank="1" showInputMessage="1" showErrorMessage="1" sqref="A5:J6" xr:uid="{00000000-0002-0000-0200-000005000000}">
      <formula1>1</formula1>
      <formula2>20</formula2>
    </dataValidation>
    <dataValidation type="list" allowBlank="1" showInputMessage="1" showErrorMessage="1" sqref="K3:L3" xr:uid="{00000000-0002-0000-0200-000006000000}">
      <formula1>"MTDC,TDC"</formula1>
    </dataValidation>
  </dataValidations>
  <printOptions horizontalCentered="1" verticalCentered="1"/>
  <pageMargins left="0.5" right="0.5" top="0.5" bottom="1" header="0.5" footer="0.5"/>
  <pageSetup scale="91" orientation="portrait" horizontalDpi="300" verticalDpi="300" r:id="rId1"/>
  <headerFooter alignWithMargins="0"/>
  <ignoredErrors>
    <ignoredError sqref="A30:O31 A53:O54 A51:F52 H51:J52 A41:O43 E35:F35 C35 C15:D15 A15:A29 K15:L29 N15:O29 C32:F34 A32:A40 C36:F40 N32:O40 A45:A50 G45:J49 M45:M49 A59:O59 A55:J55 A56:J56 M55:M56 A57:J57 A58:J58 M58 O52 M51 L52:M52 K51:K52 N52 A85:O86 B78:F78 H78:O78 B79:F79 H79:O79 H89:O89 A93:O93 A89:F90 H90:M90 A95:E95 A94:G94 H94:O94 G95:O95 A11 A77:H77 J62:J73 A61:J61 A60:J60 M60:M73 C50:O50 B44:O44 A81:O81 B82:J82 D62:F62 A62:B73 E63:F63 E64:F73 K62:L73 L82:M82 G62:I73 B80:O80 A74:M74 B75:J75 L75:O75 O74 N62:O73 O90 O82 A84:M84 O84 J77:O77 H32:L40 A91:E91 G91:M91 O91" unlockedFormula="1"/>
    <ignoredError sqref="G51:G52" numberStoredAsText="1"/>
  </ignoredErrors>
  <legacy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200-000007000000}">
          <x14:formula1>
            <xm:f>'Appendix A-Boilerplate Language'!$O$3:$O$7</xm:f>
          </x14:formula1>
          <xm:sqref>G15:G29</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filterMode="1">
    <tabColor theme="4" tint="0.59999389629810485"/>
    <pageSetUpPr fitToPage="1"/>
  </sheetPr>
  <dimension ref="A1:S96"/>
  <sheetViews>
    <sheetView showGridLines="0" showZeros="0" zoomScaleNormal="100" zoomScaleSheetLayoutView="100" workbookViewId="0">
      <selection activeCell="R1" sqref="R1"/>
    </sheetView>
  </sheetViews>
  <sheetFormatPr defaultColWidth="10.7109375" defaultRowHeight="12" customHeight="1" outlineLevelCol="1"/>
  <cols>
    <col min="1" max="1" width="2.42578125" style="6" customWidth="1"/>
    <col min="2" max="2" width="3.85546875" customWidth="1"/>
    <col min="3" max="3" width="1.5703125" customWidth="1"/>
    <col min="4" max="4" width="27.140625" style="3" customWidth="1"/>
    <col min="5" max="5" width="6.5703125" style="3" customWidth="1"/>
    <col min="6" max="6" width="9" style="3" customWidth="1"/>
    <col min="7" max="7" width="11.28515625" customWidth="1"/>
    <col min="8" max="9" width="6.85546875" customWidth="1"/>
    <col min="10" max="10" width="6.85546875" style="118" customWidth="1"/>
    <col min="11" max="11" width="12.140625" customWidth="1"/>
    <col min="12" max="12" width="12.140625" style="81" customWidth="1"/>
    <col min="13" max="13" width="5.85546875" style="81" customWidth="1" outlineLevel="1"/>
    <col min="14" max="14" width="12.140625" customWidth="1" outlineLevel="1"/>
    <col min="15" max="15" width="12.140625" style="81" customWidth="1" outlineLevel="1"/>
    <col min="16" max="17" width="14.42578125" style="1" customWidth="1"/>
    <col min="18" max="18" width="35.7109375" style="1" customWidth="1"/>
    <col min="19" max="23" width="10.7109375" style="1" customWidth="1"/>
    <col min="24" max="16384" width="10.7109375" style="1"/>
  </cols>
  <sheetData>
    <row r="1" spans="1:18" ht="14.25" customHeight="1" thickBot="1">
      <c r="A1" s="854" t="str">
        <f>'BP1'!A1:L1</f>
        <v>Title</v>
      </c>
      <c r="B1" s="855"/>
      <c r="C1" s="855"/>
      <c r="D1" s="855"/>
      <c r="E1" s="855"/>
      <c r="F1" s="855"/>
      <c r="G1" s="855"/>
      <c r="H1" s="855"/>
      <c r="I1" s="855"/>
      <c r="J1" s="856"/>
      <c r="K1" s="722" t="s">
        <v>225</v>
      </c>
      <c r="L1" s="723"/>
      <c r="M1" s="844"/>
      <c r="N1" s="844"/>
      <c r="O1" s="844"/>
      <c r="R1" s="119" t="s">
        <v>188</v>
      </c>
    </row>
    <row r="2" spans="1:18" ht="14.25" customHeight="1">
      <c r="A2" s="857"/>
      <c r="B2" s="858"/>
      <c r="C2" s="858"/>
      <c r="D2" s="858"/>
      <c r="E2" s="858"/>
      <c r="F2" s="858"/>
      <c r="G2" s="858"/>
      <c r="H2" s="858"/>
      <c r="I2" s="858"/>
      <c r="J2" s="858"/>
      <c r="K2" s="462" t="str">
        <f>'BP1'!K2</f>
        <v>Federal</v>
      </c>
      <c r="L2" s="463" t="str">
        <f>'BP1'!L2</f>
        <v>On Campus</v>
      </c>
      <c r="M2" s="844"/>
      <c r="N2" s="844"/>
      <c r="O2" s="844"/>
      <c r="R2" s="117" t="s">
        <v>219</v>
      </c>
    </row>
    <row r="3" spans="1:18" ht="14.25" customHeight="1">
      <c r="A3" s="857"/>
      <c r="B3" s="858"/>
      <c r="C3" s="858"/>
      <c r="D3" s="858"/>
      <c r="E3" s="858"/>
      <c r="F3" s="858"/>
      <c r="G3" s="858"/>
      <c r="H3" s="858"/>
      <c r="I3" s="858"/>
      <c r="J3" s="858"/>
      <c r="K3" s="825" t="str">
        <f>'BP1'!K3</f>
        <v>MTDC</v>
      </c>
      <c r="L3" s="826"/>
      <c r="M3" s="844"/>
      <c r="N3" s="844"/>
      <c r="O3" s="844"/>
      <c r="R3" s="117" t="s">
        <v>219</v>
      </c>
    </row>
    <row r="4" spans="1:18" ht="14.25" customHeight="1">
      <c r="A4" s="857"/>
      <c r="B4" s="858"/>
      <c r="C4" s="858"/>
      <c r="D4" s="858"/>
      <c r="E4" s="858"/>
      <c r="F4" s="858"/>
      <c r="G4" s="858"/>
      <c r="H4" s="858"/>
      <c r="I4" s="858"/>
      <c r="J4" s="859"/>
      <c r="K4" s="724" t="s">
        <v>445</v>
      </c>
      <c r="L4" s="725"/>
      <c r="M4" s="844"/>
      <c r="N4" s="844"/>
      <c r="O4" s="844"/>
      <c r="R4" s="117" t="s">
        <v>219</v>
      </c>
    </row>
    <row r="5" spans="1:18" ht="14.25" customHeight="1">
      <c r="A5" s="713">
        <f>'BP1'!A5+1</f>
        <v>2</v>
      </c>
      <c r="B5" s="714"/>
      <c r="C5" s="714"/>
      <c r="D5" s="714"/>
      <c r="E5" s="714"/>
      <c r="F5" s="714"/>
      <c r="G5" s="714"/>
      <c r="H5" s="714"/>
      <c r="I5" s="714"/>
      <c r="J5" s="715"/>
      <c r="K5" s="850">
        <f>'BP1'!K5</f>
        <v>1</v>
      </c>
      <c r="L5" s="851"/>
      <c r="M5" s="844"/>
      <c r="N5" s="844"/>
      <c r="O5" s="844"/>
      <c r="R5" s="117" t="s">
        <v>219</v>
      </c>
    </row>
    <row r="6" spans="1:18" ht="13.5" customHeight="1">
      <c r="A6" s="713"/>
      <c r="B6" s="714"/>
      <c r="C6" s="714"/>
      <c r="D6" s="714"/>
      <c r="E6" s="714"/>
      <c r="F6" s="714"/>
      <c r="G6" s="714"/>
      <c r="H6" s="714"/>
      <c r="I6" s="714"/>
      <c r="J6" s="715"/>
      <c r="K6" s="728" t="s">
        <v>98</v>
      </c>
      <c r="L6" s="729"/>
      <c r="M6" s="845"/>
      <c r="N6" s="844"/>
      <c r="O6" s="844"/>
      <c r="R6" s="117" t="s">
        <v>219</v>
      </c>
    </row>
    <row r="7" spans="1:18" ht="13.5" customHeight="1">
      <c r="A7" s="214"/>
      <c r="B7" s="215"/>
      <c r="C7" s="215"/>
      <c r="D7" s="216"/>
      <c r="E7" s="216"/>
      <c r="F7" s="216"/>
      <c r="G7" s="217"/>
      <c r="H7" s="215"/>
      <c r="I7" s="215"/>
      <c r="J7" s="218"/>
      <c r="K7" s="852">
        <f>'BP1'!$K$7</f>
        <v>0.03</v>
      </c>
      <c r="L7" s="853"/>
      <c r="M7" s="845"/>
      <c r="N7" s="844"/>
      <c r="O7" s="844"/>
      <c r="R7" s="117" t="s">
        <v>219</v>
      </c>
    </row>
    <row r="8" spans="1:18" ht="14.25" customHeight="1">
      <c r="A8" s="179" t="s">
        <v>200</v>
      </c>
      <c r="B8" s="180"/>
      <c r="C8" s="180"/>
      <c r="D8" s="181"/>
      <c r="E8" s="182" t="str">
        <f>'BP1'!E8</f>
        <v>Originating Sponsor</v>
      </c>
      <c r="F8" s="156"/>
      <c r="G8" s="156"/>
      <c r="H8" s="738" t="s">
        <v>514</v>
      </c>
      <c r="I8" s="738"/>
      <c r="J8" s="739"/>
      <c r="K8" s="734">
        <f>EDATE('BP1'!K10,0)+1</f>
        <v>43708</v>
      </c>
      <c r="L8" s="827"/>
      <c r="M8" s="845"/>
      <c r="N8" s="844"/>
      <c r="O8" s="844"/>
      <c r="R8" s="117" t="s">
        <v>219</v>
      </c>
    </row>
    <row r="9" spans="1:18" s="2" customFormat="1" ht="14.25" customHeight="1">
      <c r="A9" s="709" t="s">
        <v>1</v>
      </c>
      <c r="B9" s="710"/>
      <c r="C9" s="710"/>
      <c r="D9" s="710"/>
      <c r="E9" s="860">
        <f>'BP1'!E9</f>
        <v>0</v>
      </c>
      <c r="F9" s="860"/>
      <c r="G9" s="860"/>
      <c r="H9" s="740"/>
      <c r="I9" s="740"/>
      <c r="J9" s="741"/>
      <c r="K9" s="828"/>
      <c r="L9" s="829"/>
      <c r="M9" s="846"/>
      <c r="N9" s="847"/>
      <c r="O9" s="847"/>
      <c r="R9" s="117" t="s">
        <v>219</v>
      </c>
    </row>
    <row r="10" spans="1:18" s="2" customFormat="1" ht="14.25" customHeight="1">
      <c r="A10" s="183" t="s">
        <v>205</v>
      </c>
      <c r="B10" s="144"/>
      <c r="C10" s="144"/>
      <c r="D10" s="145"/>
      <c r="E10" s="182" t="str">
        <f>'BP1'!E10</f>
        <v>Flow-through Sponsor</v>
      </c>
      <c r="F10" s="156"/>
      <c r="G10" s="156"/>
      <c r="H10" s="738" t="s">
        <v>515</v>
      </c>
      <c r="I10" s="738"/>
      <c r="J10" s="739"/>
      <c r="K10" s="734">
        <f>EDATE(K8,12)-1</f>
        <v>44073</v>
      </c>
      <c r="L10" s="827"/>
      <c r="M10" s="747" t="s">
        <v>562</v>
      </c>
      <c r="N10" s="748"/>
      <c r="O10" s="848"/>
      <c r="R10" s="117" t="s">
        <v>219</v>
      </c>
    </row>
    <row r="11" spans="1:18" s="2" customFormat="1" ht="14.25" customHeight="1">
      <c r="A11" s="711" t="str">
        <f>'BP1'!A11:D11</f>
        <v>Professor McCormick</v>
      </c>
      <c r="B11" s="712"/>
      <c r="C11" s="712"/>
      <c r="D11" s="712"/>
      <c r="E11" s="860">
        <f>'BP1'!E11</f>
        <v>0</v>
      </c>
      <c r="F11" s="860"/>
      <c r="G11" s="860"/>
      <c r="H11" s="740"/>
      <c r="I11" s="740"/>
      <c r="J11" s="741"/>
      <c r="K11" s="828"/>
      <c r="L11" s="829"/>
      <c r="M11" s="749"/>
      <c r="N11" s="750"/>
      <c r="O11" s="849"/>
      <c r="R11" s="117" t="s">
        <v>219</v>
      </c>
    </row>
    <row r="12" spans="1:18" s="2" customFormat="1" ht="14.25" customHeight="1">
      <c r="A12" s="183" t="s">
        <v>202</v>
      </c>
      <c r="B12" s="144"/>
      <c r="C12" s="144"/>
      <c r="D12" s="157"/>
      <c r="E12" s="157"/>
      <c r="F12" s="331"/>
      <c r="G12" s="689" t="s">
        <v>902</v>
      </c>
      <c r="H12" s="692" t="s">
        <v>516</v>
      </c>
      <c r="I12" s="693"/>
      <c r="J12" s="694"/>
      <c r="K12" s="700" t="s">
        <v>35</v>
      </c>
      <c r="L12" s="701"/>
      <c r="M12" s="378" t="s">
        <v>286</v>
      </c>
      <c r="N12" s="700" t="s">
        <v>35</v>
      </c>
      <c r="O12" s="701"/>
      <c r="R12" s="117" t="s">
        <v>219</v>
      </c>
    </row>
    <row r="13" spans="1:18" s="2" customFormat="1" ht="14.25" customHeight="1">
      <c r="A13" s="143"/>
      <c r="B13" s="144"/>
      <c r="C13" s="144"/>
      <c r="D13" s="157"/>
      <c r="E13" s="157"/>
      <c r="F13" s="332"/>
      <c r="G13" s="690"/>
      <c r="H13" s="789" t="s">
        <v>285</v>
      </c>
      <c r="I13" s="790"/>
      <c r="J13" s="791"/>
      <c r="K13" s="702"/>
      <c r="L13" s="703"/>
      <c r="M13" s="377" t="s">
        <v>287</v>
      </c>
      <c r="N13" s="702"/>
      <c r="O13" s="703"/>
      <c r="R13" s="117" t="s">
        <v>219</v>
      </c>
    </row>
    <row r="14" spans="1:18" s="2" customFormat="1" ht="14.25" customHeight="1">
      <c r="A14" s="143"/>
      <c r="B14" s="155"/>
      <c r="C14" s="155"/>
      <c r="D14" s="153"/>
      <c r="E14" s="153"/>
      <c r="F14" s="379"/>
      <c r="G14" s="691"/>
      <c r="H14" s="173" t="s">
        <v>2</v>
      </c>
      <c r="I14" s="174" t="s">
        <v>198</v>
      </c>
      <c r="J14" s="174" t="s">
        <v>199</v>
      </c>
      <c r="K14" s="170" t="s">
        <v>33</v>
      </c>
      <c r="L14" s="171" t="s">
        <v>34</v>
      </c>
      <c r="M14" s="236" t="s">
        <v>288</v>
      </c>
      <c r="N14" s="170" t="s">
        <v>33</v>
      </c>
      <c r="O14" s="171" t="s">
        <v>34</v>
      </c>
      <c r="P14" s="195" t="s">
        <v>109</v>
      </c>
      <c r="Q14" s="195" t="s">
        <v>862</v>
      </c>
      <c r="R14" s="117" t="s">
        <v>219</v>
      </c>
    </row>
    <row r="15" spans="1:18" s="2" customFormat="1" ht="14.25" customHeight="1">
      <c r="A15" s="184">
        <v>1</v>
      </c>
      <c r="B15" s="830">
        <f>IF($A$5&lt;=$K$5,'BP1'!B15,)</f>
        <v>0</v>
      </c>
      <c r="C15" s="831"/>
      <c r="D15" s="831"/>
      <c r="E15" s="831"/>
      <c r="F15" s="832"/>
      <c r="G15" s="229">
        <f>IF($A$5&lt;=$K$5,'BP1'!G15,)</f>
        <v>0</v>
      </c>
      <c r="H15" s="219">
        <f>IF($G15&gt;0,'BP1'!H15,)</f>
        <v>0</v>
      </c>
      <c r="I15" s="220">
        <f>IF($G15&gt;0,'BP1'!I15,)</f>
        <v>0</v>
      </c>
      <c r="J15" s="220">
        <f>IF($G15&gt;0,'BP1'!J15,)</f>
        <v>0</v>
      </c>
      <c r="K15" s="140">
        <f ca="1">IFERROR(IF(Q15&gt;0,Q15/G15*(SUM(H15:J15)),P15/G15*(SUM(H15:J15))),)</f>
        <v>0</v>
      </c>
      <c r="L15" s="141">
        <f ca="1">IF(K15&gt;1,K15*LOOKUP($K$8,Lists!$A$2:$A$812,IF($K$2="Non-Federal",Lists!$D$2:$D$812,Lists!$C$2:$C$812)),0)</f>
        <v>0</v>
      </c>
      <c r="M15" s="234">
        <f>IF(G15&gt;0,'BP1'!M15,)</f>
        <v>0</v>
      </c>
      <c r="N15" s="140">
        <f ca="1">IFERROR(IF(Q15&gt;0,Q15/G15*M15,P15/G15*M15),)</f>
        <v>0</v>
      </c>
      <c r="O15" s="141">
        <f ca="1">N15*LOOKUP($K$8,Lists!$A$2:$A$812,IF($K$2="Non-Federal",Lists!$D$2:$D$812,Lists!$C$2:$C$812))</f>
        <v>0</v>
      </c>
      <c r="P15" s="205">
        <f ca="1">IF($A$5&lt;='BP1'!$K$5,(1+$K$7)*INDIRECT("BP"&amp;$A$5-1&amp;"!P15"),)</f>
        <v>0</v>
      </c>
      <c r="Q15" s="205">
        <f t="shared" ref="Q15:Q29" si="0">IF(COUNTIF(NIH,$E$9)&gt;0,(IF(G15&gt;0,IF((P15/G15)*12&gt;NIHSalCap,(NIHSalCap/12)*G15,),)),)</f>
        <v>0</v>
      </c>
      <c r="R15" s="117" t="s">
        <v>219</v>
      </c>
    </row>
    <row r="16" spans="1:18" s="2" customFormat="1" ht="14.25" customHeight="1">
      <c r="A16" s="184">
        <v>2</v>
      </c>
      <c r="B16" s="830">
        <f>IF($A$5&lt;=$K$5,'BP1'!B16,)</f>
        <v>0</v>
      </c>
      <c r="C16" s="831"/>
      <c r="D16" s="831"/>
      <c r="E16" s="831"/>
      <c r="F16" s="832"/>
      <c r="G16" s="229">
        <f>IF($A$5&lt;=$K$5,'BP1'!G16,)</f>
        <v>0</v>
      </c>
      <c r="H16" s="219">
        <f>IF($G16&gt;0,'BP1'!H16,)</f>
        <v>0</v>
      </c>
      <c r="I16" s="220">
        <f>IF($G16&gt;0,'BP1'!I16,)</f>
        <v>0</v>
      </c>
      <c r="J16" s="220">
        <f>IF($G16&gt;0,'BP1'!J16,)</f>
        <v>0</v>
      </c>
      <c r="K16" s="140">
        <f ca="1">IFERROR(IF(Q16&gt;0,Q16/G16*(SUM(H16:J16)),P16/G16*(SUM(H16:J16))),)</f>
        <v>0</v>
      </c>
      <c r="L16" s="141">
        <f ca="1">IF(K16&gt;1,K16*LOOKUP($K$8,Lists!$A$2:$A$812,IF($K$2="Non-Federal",Lists!$D$2:$D$812,Lists!$C$2:$C$812)),0)</f>
        <v>0</v>
      </c>
      <c r="M16" s="234">
        <f>IF(G16&gt;0,'BP1'!M16,)</f>
        <v>0</v>
      </c>
      <c r="N16" s="140">
        <f t="shared" ref="N16:N29" ca="1" si="1">IFERROR(IF(Q16&gt;0,Q16/G16*M16,P16/G16*M16),)</f>
        <v>0</v>
      </c>
      <c r="O16" s="141">
        <f ca="1">N16*LOOKUP($K$8,Lists!$A$2:$A$812,IF($K$2="Non-Federal",Lists!$D$2:$D$812,Lists!$C$2:$C$812))</f>
        <v>0</v>
      </c>
      <c r="P16" s="205">
        <f ca="1">IF($A$5&lt;='BP1'!$K$5,(1+$K$7)*INDIRECT("BP"&amp;$A$5-1&amp;"!P16"),)</f>
        <v>0</v>
      </c>
      <c r="Q16" s="205">
        <f>IF(COUNTIF(NIH,$E$9)&gt;0,(IF(G16&gt;0,IF((P16/G16)*12&gt;NIHSalCap,(NIHSalCap/12)*G16,),)),)</f>
        <v>0</v>
      </c>
      <c r="R16" s="117" t="s">
        <v>219</v>
      </c>
    </row>
    <row r="17" spans="1:18" s="2" customFormat="1" ht="14.25" customHeight="1">
      <c r="A17" s="184">
        <v>3</v>
      </c>
      <c r="B17" s="830">
        <f>IF($A$5&lt;=$K$5,'BP1'!B17,)</f>
        <v>0</v>
      </c>
      <c r="C17" s="831"/>
      <c r="D17" s="831"/>
      <c r="E17" s="831"/>
      <c r="F17" s="832"/>
      <c r="G17" s="229">
        <f>IF($A$5&lt;=$K$5,'BP1'!G17,)</f>
        <v>0</v>
      </c>
      <c r="H17" s="219">
        <f>IF($G17&gt;0,'BP1'!H17,)</f>
        <v>0</v>
      </c>
      <c r="I17" s="220">
        <f>IF($G17&gt;0,'BP1'!I17,)</f>
        <v>0</v>
      </c>
      <c r="J17" s="220">
        <f>IF($G17&gt;0,'BP1'!J17,)</f>
        <v>0</v>
      </c>
      <c r="K17" s="140">
        <f t="shared" ref="K17:K29" ca="1" si="2">IFERROR(IF(Q17&gt;0,Q17/G17*(SUM(H17:J17)),P17/G17*(SUM(H17:J17))),)</f>
        <v>0</v>
      </c>
      <c r="L17" s="141">
        <f ca="1">IF(K17&gt;1,K17*LOOKUP($K$8,Lists!$A$2:$A$812,IF($K$2="Non-Federal",Lists!$D$2:$D$812,Lists!$C$2:$C$812)),0)</f>
        <v>0</v>
      </c>
      <c r="M17" s="234">
        <f>IF(G17&gt;0,'BP1'!M17,)</f>
        <v>0</v>
      </c>
      <c r="N17" s="140">
        <f t="shared" ca="1" si="1"/>
        <v>0</v>
      </c>
      <c r="O17" s="141">
        <f ca="1">N17*LOOKUP($K$8,Lists!$A$2:$A$812,IF($K$2="Non-Federal",Lists!$D$2:$D$812,Lists!$C$2:$C$812))</f>
        <v>0</v>
      </c>
      <c r="P17" s="205">
        <f ca="1">IF($A$5&lt;='BP1'!$K$5,(1+$K$7)*INDIRECT("BP"&amp;$A$5-1&amp;"!P17"),)</f>
        <v>0</v>
      </c>
      <c r="Q17" s="205">
        <f t="shared" si="0"/>
        <v>0</v>
      </c>
      <c r="R17" s="117" t="s">
        <v>219</v>
      </c>
    </row>
    <row r="18" spans="1:18" s="2" customFormat="1" ht="14.25" customHeight="1">
      <c r="A18" s="184">
        <v>4</v>
      </c>
      <c r="B18" s="830">
        <f>IF($A$5&lt;=$K$5,'BP1'!B18,)</f>
        <v>0</v>
      </c>
      <c r="C18" s="831"/>
      <c r="D18" s="831"/>
      <c r="E18" s="831"/>
      <c r="F18" s="832"/>
      <c r="G18" s="229">
        <f>IF($A$5&lt;=$K$5,'BP1'!G18,)</f>
        <v>0</v>
      </c>
      <c r="H18" s="219">
        <f>IF($G18&gt;0,'BP1'!H18,)</f>
        <v>0</v>
      </c>
      <c r="I18" s="220">
        <f>IF($G18&gt;0,'BP1'!I18,)</f>
        <v>0</v>
      </c>
      <c r="J18" s="220">
        <f>IF($G18&gt;0,'BP1'!J18,)</f>
        <v>0</v>
      </c>
      <c r="K18" s="140">
        <f t="shared" ca="1" si="2"/>
        <v>0</v>
      </c>
      <c r="L18" s="141">
        <f ca="1">IF(K18&gt;1,K18*LOOKUP($K$8,Lists!$A$2:$A$812,IF($K$2="Non-Federal",Lists!$D$2:$D$812,Lists!$C$2:$C$812)),0)</f>
        <v>0</v>
      </c>
      <c r="M18" s="234">
        <f>IF(G18&gt;0,'BP1'!M18,)</f>
        <v>0</v>
      </c>
      <c r="N18" s="140">
        <f t="shared" ca="1" si="1"/>
        <v>0</v>
      </c>
      <c r="O18" s="141">
        <f ca="1">N18*LOOKUP($K$8,Lists!$A$2:$A$812,IF($K$2="Non-Federal",Lists!$D$2:$D$812,Lists!$C$2:$C$812))</f>
        <v>0</v>
      </c>
      <c r="P18" s="205">
        <f ca="1">IF($A$5&lt;='BP1'!$K$5,(1+$K$7)*INDIRECT("BP"&amp;$A$5-1&amp;"!P18"),)</f>
        <v>0</v>
      </c>
      <c r="Q18" s="205">
        <f t="shared" si="0"/>
        <v>0</v>
      </c>
      <c r="R18" s="117" t="s">
        <v>219</v>
      </c>
    </row>
    <row r="19" spans="1:18" s="2" customFormat="1" ht="14.25" customHeight="1">
      <c r="A19" s="223">
        <v>5</v>
      </c>
      <c r="B19" s="830">
        <f>IF($A$5&lt;=$K$5,'BP1'!B19,)</f>
        <v>0</v>
      </c>
      <c r="C19" s="831"/>
      <c r="D19" s="831"/>
      <c r="E19" s="831"/>
      <c r="F19" s="832"/>
      <c r="G19" s="229">
        <f>IF($A$5&lt;=$K$5,'BP1'!G19,)</f>
        <v>0</v>
      </c>
      <c r="H19" s="219">
        <f>IF($G19&gt;0,'BP1'!H19,)</f>
        <v>0</v>
      </c>
      <c r="I19" s="220">
        <f>IF($G19&gt;0,'BP1'!I19,)</f>
        <v>0</v>
      </c>
      <c r="J19" s="220">
        <f>IF($G19&gt;0,'BP1'!J19,)</f>
        <v>0</v>
      </c>
      <c r="K19" s="140">
        <f t="shared" ca="1" si="2"/>
        <v>0</v>
      </c>
      <c r="L19" s="141">
        <f ca="1">IF(K19&gt;1,K19*LOOKUP($K$8,Lists!$A$2:$A$812,IF($K$2="Non-Federal",Lists!$D$2:$D$812,Lists!$C$2:$C$812)),0)</f>
        <v>0</v>
      </c>
      <c r="M19" s="234">
        <f>IF(G19&gt;0,'BP1'!M19,)</f>
        <v>0</v>
      </c>
      <c r="N19" s="140">
        <f t="shared" ca="1" si="1"/>
        <v>0</v>
      </c>
      <c r="O19" s="141">
        <f ca="1">N19*LOOKUP($K$8,Lists!$A$2:$A$812,IF($K$2="Non-Federal",Lists!$D$2:$D$812,Lists!$C$2:$C$812))</f>
        <v>0</v>
      </c>
      <c r="P19" s="205">
        <f ca="1">IF($A$5&lt;='BP1'!$K$5,(1+$K$7)*INDIRECT("BP"&amp;$A$5-1&amp;"!P19"),)</f>
        <v>0</v>
      </c>
      <c r="Q19" s="205">
        <f t="shared" si="0"/>
        <v>0</v>
      </c>
      <c r="R19" s="117" t="s">
        <v>219</v>
      </c>
    </row>
    <row r="20" spans="1:18" s="2" customFormat="1" ht="14.25" hidden="1" customHeight="1">
      <c r="A20" s="184">
        <v>6</v>
      </c>
      <c r="B20" s="830">
        <f>IF($A$5&lt;=$K$5,'BP1'!B20,)</f>
        <v>0</v>
      </c>
      <c r="C20" s="831"/>
      <c r="D20" s="831"/>
      <c r="E20" s="831"/>
      <c r="F20" s="832"/>
      <c r="G20" s="229">
        <f>IF($A$5&lt;=$K$5,'BP1'!G20,)</f>
        <v>0</v>
      </c>
      <c r="H20" s="219">
        <f>IF($G20&gt;0,'BP1'!H20,)</f>
        <v>0</v>
      </c>
      <c r="I20" s="220">
        <f>IF($G20&gt;0,'BP1'!I20,)</f>
        <v>0</v>
      </c>
      <c r="J20" s="220">
        <f>IF($G20&gt;0,'BP1'!J20,)</f>
        <v>0</v>
      </c>
      <c r="K20" s="140">
        <f t="shared" ca="1" si="2"/>
        <v>0</v>
      </c>
      <c r="L20" s="141">
        <f ca="1">IF(K20&gt;1,K20*LOOKUP($K$8,Lists!$A$2:$A$812,IF($K$2="Non-Federal",Lists!$D$2:$D$812,Lists!$C$2:$C$812)),0)</f>
        <v>0</v>
      </c>
      <c r="M20" s="234">
        <f>IF(G20&gt;0,'BP1'!M20,)</f>
        <v>0</v>
      </c>
      <c r="N20" s="140">
        <f t="shared" ca="1" si="1"/>
        <v>0</v>
      </c>
      <c r="O20" s="141">
        <f ca="1">N20*LOOKUP($K$8,Lists!$A$2:$A$812,IF($K$2="Non-Federal",Lists!$D$2:$D$812,Lists!$C$2:$C$812))</f>
        <v>0</v>
      </c>
      <c r="P20" s="205">
        <f ca="1">IF($A$5&lt;='BP1'!$K$5,(1+$K$7)*INDIRECT("BP"&amp;$A$5-1&amp;"!P20"),)</f>
        <v>0</v>
      </c>
      <c r="Q20" s="205">
        <f t="shared" si="0"/>
        <v>0</v>
      </c>
      <c r="R20" s="117" t="s">
        <v>485</v>
      </c>
    </row>
    <row r="21" spans="1:18" s="2" customFormat="1" ht="14.25" hidden="1" customHeight="1">
      <c r="A21" s="184">
        <v>7</v>
      </c>
      <c r="B21" s="830">
        <f>IF($A$5&lt;=$K$5,'BP1'!B21,)</f>
        <v>0</v>
      </c>
      <c r="C21" s="831"/>
      <c r="D21" s="831"/>
      <c r="E21" s="831"/>
      <c r="F21" s="832"/>
      <c r="G21" s="229">
        <f>IF($A$5&lt;=$K$5,'BP1'!G21,)</f>
        <v>0</v>
      </c>
      <c r="H21" s="219">
        <f>IF($G21&gt;0,'BP1'!H21,)</f>
        <v>0</v>
      </c>
      <c r="I21" s="220">
        <f>IF($G21&gt;0,'BP1'!I21,)</f>
        <v>0</v>
      </c>
      <c r="J21" s="220">
        <f>IF($G21&gt;0,'BP1'!J21,)</f>
        <v>0</v>
      </c>
      <c r="K21" s="140">
        <f t="shared" ca="1" si="2"/>
        <v>0</v>
      </c>
      <c r="L21" s="141">
        <f ca="1">IF(K21&gt;1,K21*LOOKUP($K$8,Lists!$A$2:$A$812,IF($K$2="Non-Federal",Lists!$D$2:$D$812,Lists!$C$2:$C$812)),0)</f>
        <v>0</v>
      </c>
      <c r="M21" s="234">
        <f>IF(G21&gt;0,'BP1'!M21,)</f>
        <v>0</v>
      </c>
      <c r="N21" s="140">
        <f t="shared" ca="1" si="1"/>
        <v>0</v>
      </c>
      <c r="O21" s="141">
        <f ca="1">N21*LOOKUP($K$8,Lists!$A$2:$A$812,IF($K$2="Non-Federal",Lists!$D$2:$D$812,Lists!$C$2:$C$812))</f>
        <v>0</v>
      </c>
      <c r="P21" s="205">
        <f ca="1">IF($A$5&lt;='BP1'!$K$5,(1+$K$7)*INDIRECT("BP"&amp;$A$5-1&amp;"!P21"),)</f>
        <v>0</v>
      </c>
      <c r="Q21" s="205">
        <f t="shared" si="0"/>
        <v>0</v>
      </c>
      <c r="R21" s="117" t="s">
        <v>485</v>
      </c>
    </row>
    <row r="22" spans="1:18" s="2" customFormat="1" ht="14.25" hidden="1" customHeight="1">
      <c r="A22" s="184">
        <v>8</v>
      </c>
      <c r="B22" s="830">
        <f>IF($A$5&lt;=$K$5,'BP1'!B22,)</f>
        <v>0</v>
      </c>
      <c r="C22" s="831"/>
      <c r="D22" s="831"/>
      <c r="E22" s="831"/>
      <c r="F22" s="832"/>
      <c r="G22" s="229">
        <f>IF($A$5&lt;=$K$5,'BP1'!G22,)</f>
        <v>0</v>
      </c>
      <c r="H22" s="219">
        <f>IF($G22&gt;0,'BP1'!H22,)</f>
        <v>0</v>
      </c>
      <c r="I22" s="220">
        <f>IF($G22&gt;0,'BP1'!I22,)</f>
        <v>0</v>
      </c>
      <c r="J22" s="220">
        <f>IF($G22&gt;0,'BP1'!J22,)</f>
        <v>0</v>
      </c>
      <c r="K22" s="140">
        <f t="shared" ca="1" si="2"/>
        <v>0</v>
      </c>
      <c r="L22" s="141">
        <f ca="1">IF(K22&gt;1,K22*LOOKUP($K$8,Lists!$A$2:$A$812,IF($K$2="Non-Federal",Lists!$D$2:$D$812,Lists!$C$2:$C$812)),0)</f>
        <v>0</v>
      </c>
      <c r="M22" s="234">
        <f>IF(G22&gt;0,'BP1'!M22,)</f>
        <v>0</v>
      </c>
      <c r="N22" s="140">
        <f t="shared" ca="1" si="1"/>
        <v>0</v>
      </c>
      <c r="O22" s="141">
        <f ca="1">N22*LOOKUP($K$8,Lists!$A$2:$A$812,IF($K$2="Non-Federal",Lists!$D$2:$D$812,Lists!$C$2:$C$812))</f>
        <v>0</v>
      </c>
      <c r="P22" s="205">
        <f ca="1">IF($A$5&lt;='BP1'!$K$5,(1+$K$7)*INDIRECT("BP"&amp;$A$5-1&amp;"!P22"),)</f>
        <v>0</v>
      </c>
      <c r="Q22" s="205">
        <f t="shared" si="0"/>
        <v>0</v>
      </c>
      <c r="R22" s="117" t="s">
        <v>485</v>
      </c>
    </row>
    <row r="23" spans="1:18" s="2" customFormat="1" ht="14.25" hidden="1" customHeight="1">
      <c r="A23" s="184">
        <v>9</v>
      </c>
      <c r="B23" s="830">
        <f>IF($A$5&lt;=$K$5,'BP1'!B23,)</f>
        <v>0</v>
      </c>
      <c r="C23" s="831"/>
      <c r="D23" s="831"/>
      <c r="E23" s="831"/>
      <c r="F23" s="832"/>
      <c r="G23" s="229">
        <f>IF($A$5&lt;=$K$5,'BP1'!G23,)</f>
        <v>0</v>
      </c>
      <c r="H23" s="219">
        <f>IF($G23&gt;0,'BP1'!H23,)</f>
        <v>0</v>
      </c>
      <c r="I23" s="220">
        <f>IF($G23&gt;0,'BP1'!I23,)</f>
        <v>0</v>
      </c>
      <c r="J23" s="220">
        <f>IF($G23&gt;0,'BP1'!J23,)</f>
        <v>0</v>
      </c>
      <c r="K23" s="140">
        <f t="shared" ca="1" si="2"/>
        <v>0</v>
      </c>
      <c r="L23" s="141">
        <f ca="1">IF(K23&gt;1,K23*LOOKUP($K$8,Lists!$A$2:$A$812,IF($K$2="Non-Federal",Lists!$D$2:$D$812,Lists!$C$2:$C$812)),0)</f>
        <v>0</v>
      </c>
      <c r="M23" s="234">
        <f>IF(G23&gt;0,'BP1'!M23,)</f>
        <v>0</v>
      </c>
      <c r="N23" s="140">
        <f t="shared" ca="1" si="1"/>
        <v>0</v>
      </c>
      <c r="O23" s="141">
        <f ca="1">N23*LOOKUP($K$8,Lists!$A$2:$A$812,IF($K$2="Non-Federal",Lists!$D$2:$D$812,Lists!$C$2:$C$812))</f>
        <v>0</v>
      </c>
      <c r="P23" s="205">
        <f ca="1">IF($A$5&lt;='BP1'!$K$5,(1+$K$7)*INDIRECT("BP"&amp;$A$5-1&amp;"!P23"),)</f>
        <v>0</v>
      </c>
      <c r="Q23" s="205">
        <f t="shared" si="0"/>
        <v>0</v>
      </c>
      <c r="R23" s="117" t="s">
        <v>485</v>
      </c>
    </row>
    <row r="24" spans="1:18" s="2" customFormat="1" ht="14.25" hidden="1" customHeight="1">
      <c r="A24" s="184">
        <v>10</v>
      </c>
      <c r="B24" s="830">
        <f>IF($A$5&lt;=$K$5,'BP1'!B24,)</f>
        <v>0</v>
      </c>
      <c r="C24" s="831"/>
      <c r="D24" s="831"/>
      <c r="E24" s="831"/>
      <c r="F24" s="832"/>
      <c r="G24" s="229">
        <f>IF($A$5&lt;=$K$5,'BP1'!G24,)</f>
        <v>0</v>
      </c>
      <c r="H24" s="219">
        <f>IF($G24&gt;0,'BP1'!H24,)</f>
        <v>0</v>
      </c>
      <c r="I24" s="220">
        <f>IF($G24&gt;0,'BP1'!I24,)</f>
        <v>0</v>
      </c>
      <c r="J24" s="220">
        <f>IF($G24&gt;0,'BP1'!J24,)</f>
        <v>0</v>
      </c>
      <c r="K24" s="140">
        <f t="shared" ca="1" si="2"/>
        <v>0</v>
      </c>
      <c r="L24" s="141">
        <f ca="1">IF(K24&gt;1,K24*LOOKUP($K$8,Lists!$A$2:$A$812,IF($K$2="Non-Federal",Lists!$D$2:$D$812,Lists!$C$2:$C$812)),0)</f>
        <v>0</v>
      </c>
      <c r="M24" s="234">
        <f>IF(G24&gt;0,'BP1'!M24,)</f>
        <v>0</v>
      </c>
      <c r="N24" s="140">
        <f t="shared" ca="1" si="1"/>
        <v>0</v>
      </c>
      <c r="O24" s="141">
        <f ca="1">N24*LOOKUP($K$8,Lists!$A$2:$A$812,IF($K$2="Non-Federal",Lists!$D$2:$D$812,Lists!$C$2:$C$812))</f>
        <v>0</v>
      </c>
      <c r="P24" s="205">
        <f ca="1">IF($A$5&lt;='BP1'!$K$5,(1+$K$7)*INDIRECT("BP"&amp;$A$5-1&amp;"!P24"),)</f>
        <v>0</v>
      </c>
      <c r="Q24" s="205">
        <f t="shared" si="0"/>
        <v>0</v>
      </c>
      <c r="R24" s="117" t="s">
        <v>485</v>
      </c>
    </row>
    <row r="25" spans="1:18" s="2" customFormat="1" ht="14.25" hidden="1" customHeight="1">
      <c r="A25" s="184">
        <v>11</v>
      </c>
      <c r="B25" s="830">
        <f>IF($A$5&lt;=$K$5,'BP1'!B25,)</f>
        <v>0</v>
      </c>
      <c r="C25" s="831"/>
      <c r="D25" s="831"/>
      <c r="E25" s="831"/>
      <c r="F25" s="832"/>
      <c r="G25" s="229">
        <f>IF($A$5&lt;=$K$5,'BP1'!G25,)</f>
        <v>0</v>
      </c>
      <c r="H25" s="219">
        <f>IF($G25&gt;0,'BP1'!H25,)</f>
        <v>0</v>
      </c>
      <c r="I25" s="220">
        <f>IF($G25&gt;0,'BP1'!I25,)</f>
        <v>0</v>
      </c>
      <c r="J25" s="220">
        <f>IF($G25&gt;0,'BP1'!J25,)</f>
        <v>0</v>
      </c>
      <c r="K25" s="140">
        <f t="shared" ca="1" si="2"/>
        <v>0</v>
      </c>
      <c r="L25" s="141">
        <f ca="1">IF(K25&gt;1,K25*LOOKUP($K$8,Lists!$A$2:$A$812,IF($K$2="Non-Federal",Lists!$D$2:$D$812,Lists!$C$2:$C$812)),0)</f>
        <v>0</v>
      </c>
      <c r="M25" s="234">
        <f>IF(G25&gt;0,'BP1'!M25,)</f>
        <v>0</v>
      </c>
      <c r="N25" s="140">
        <f t="shared" ca="1" si="1"/>
        <v>0</v>
      </c>
      <c r="O25" s="141">
        <f ca="1">N25*LOOKUP($K$8,Lists!$A$2:$A$812,IF($K$2="Non-Federal",Lists!$D$2:$D$812,Lists!$C$2:$C$812))</f>
        <v>0</v>
      </c>
      <c r="P25" s="205">
        <f ca="1">IF($A$5&lt;='BP1'!$K$5,(1+$K$7)*INDIRECT("BP"&amp;$A$5-1&amp;"!P25"),)</f>
        <v>0</v>
      </c>
      <c r="Q25" s="205">
        <f t="shared" si="0"/>
        <v>0</v>
      </c>
      <c r="R25" s="117" t="s">
        <v>486</v>
      </c>
    </row>
    <row r="26" spans="1:18" s="2" customFormat="1" ht="14.25" hidden="1" customHeight="1">
      <c r="A26" s="184">
        <v>12</v>
      </c>
      <c r="B26" s="830">
        <f>IF($A$5&lt;=$K$5,'BP1'!B26,)</f>
        <v>0</v>
      </c>
      <c r="C26" s="831"/>
      <c r="D26" s="831"/>
      <c r="E26" s="831"/>
      <c r="F26" s="832"/>
      <c r="G26" s="229">
        <f>IF($A$5&lt;=$K$5,'BP1'!G26,)</f>
        <v>0</v>
      </c>
      <c r="H26" s="219">
        <f>IF($G26&gt;0,'BP1'!H26,)</f>
        <v>0</v>
      </c>
      <c r="I26" s="220">
        <f>IF($G26&gt;0,'BP1'!I26,)</f>
        <v>0</v>
      </c>
      <c r="J26" s="220">
        <f>IF($G26&gt;0,'BP1'!J26,)</f>
        <v>0</v>
      </c>
      <c r="K26" s="140">
        <f t="shared" ca="1" si="2"/>
        <v>0</v>
      </c>
      <c r="L26" s="141">
        <f ca="1">IF(K26&gt;1,K26*LOOKUP($K$8,Lists!$A$2:$A$812,IF($K$2="Non-Federal",Lists!$D$2:$D$812,Lists!$C$2:$C$812)),0)</f>
        <v>0</v>
      </c>
      <c r="M26" s="234">
        <f>IF(G26&gt;0,'BP1'!M26,)</f>
        <v>0</v>
      </c>
      <c r="N26" s="140">
        <f t="shared" ca="1" si="1"/>
        <v>0</v>
      </c>
      <c r="O26" s="141">
        <f ca="1">N26*LOOKUP($K$8,Lists!$A$2:$A$812,IF($K$2="Non-Federal",Lists!$D$2:$D$812,Lists!$C$2:$C$812))</f>
        <v>0</v>
      </c>
      <c r="P26" s="205">
        <f ca="1">IF($A$5&lt;='BP1'!$K$5,(1+$K$7)*INDIRECT("BP"&amp;$A$5-1&amp;"!P26"),)</f>
        <v>0</v>
      </c>
      <c r="Q26" s="205">
        <f t="shared" si="0"/>
        <v>0</v>
      </c>
      <c r="R26" s="117" t="s">
        <v>486</v>
      </c>
    </row>
    <row r="27" spans="1:18" s="2" customFormat="1" ht="14.25" hidden="1" customHeight="1">
      <c r="A27" s="184">
        <v>13</v>
      </c>
      <c r="B27" s="830">
        <f>IF($A$5&lt;=$K$5,'BP1'!B27,)</f>
        <v>0</v>
      </c>
      <c r="C27" s="831"/>
      <c r="D27" s="831"/>
      <c r="E27" s="831"/>
      <c r="F27" s="832"/>
      <c r="G27" s="229">
        <f>IF($A$5&lt;=$K$5,'BP1'!G27,)</f>
        <v>0</v>
      </c>
      <c r="H27" s="219">
        <f>IF($G27&gt;0,'BP1'!H27,)</f>
        <v>0</v>
      </c>
      <c r="I27" s="220">
        <f>IF($G27&gt;0,'BP1'!I27,)</f>
        <v>0</v>
      </c>
      <c r="J27" s="220">
        <f>IF($G27&gt;0,'BP1'!J27,)</f>
        <v>0</v>
      </c>
      <c r="K27" s="140">
        <f t="shared" ca="1" si="2"/>
        <v>0</v>
      </c>
      <c r="L27" s="141">
        <f ca="1">IF(K27&gt;1,K27*LOOKUP($K$8,Lists!$A$2:$A$812,IF($K$2="Non-Federal",Lists!$D$2:$D$812,Lists!$C$2:$C$812)),0)</f>
        <v>0</v>
      </c>
      <c r="M27" s="234">
        <f>IF(G27&gt;0,'BP1'!M27,)</f>
        <v>0</v>
      </c>
      <c r="N27" s="140">
        <f t="shared" ca="1" si="1"/>
        <v>0</v>
      </c>
      <c r="O27" s="141">
        <f ca="1">N27*LOOKUP($K$8,Lists!$A$2:$A$812,IF($K$2="Non-Federal",Lists!$D$2:$D$812,Lists!$C$2:$C$812))</f>
        <v>0</v>
      </c>
      <c r="P27" s="205">
        <f ca="1">IF($A$5&lt;='BP1'!$K$5,(1+$K$7)*INDIRECT("BP"&amp;$A$5-1&amp;"!P27"),)</f>
        <v>0</v>
      </c>
      <c r="Q27" s="205">
        <f t="shared" si="0"/>
        <v>0</v>
      </c>
      <c r="R27" s="117" t="s">
        <v>486</v>
      </c>
    </row>
    <row r="28" spans="1:18" s="2" customFormat="1" ht="14.25" hidden="1" customHeight="1">
      <c r="A28" s="184">
        <v>14</v>
      </c>
      <c r="B28" s="830">
        <f>IF($A$5&lt;=$K$5,'BP1'!B28,)</f>
        <v>0</v>
      </c>
      <c r="C28" s="831"/>
      <c r="D28" s="831"/>
      <c r="E28" s="831"/>
      <c r="F28" s="832"/>
      <c r="G28" s="229">
        <f>IF($A$5&lt;=$K$5,'BP1'!G28,)</f>
        <v>0</v>
      </c>
      <c r="H28" s="219">
        <f>IF($G28&gt;0,'BP1'!H28,)</f>
        <v>0</v>
      </c>
      <c r="I28" s="220">
        <f>IF($G28&gt;0,'BP1'!I28,)</f>
        <v>0</v>
      </c>
      <c r="J28" s="220">
        <f>IF($G28&gt;0,'BP1'!J28,)</f>
        <v>0</v>
      </c>
      <c r="K28" s="140">
        <f t="shared" ca="1" si="2"/>
        <v>0</v>
      </c>
      <c r="L28" s="141">
        <f ca="1">IF(K28&gt;1,K28*LOOKUP($K$8,Lists!$A$2:$A$812,IF($K$2="Non-Federal",Lists!$D$2:$D$812,Lists!$C$2:$C$812)),0)</f>
        <v>0</v>
      </c>
      <c r="M28" s="234">
        <f>IF(G28&gt;0,'BP1'!M28,)</f>
        <v>0</v>
      </c>
      <c r="N28" s="140">
        <f t="shared" ca="1" si="1"/>
        <v>0</v>
      </c>
      <c r="O28" s="141">
        <f ca="1">N28*LOOKUP($K$8,Lists!$A$2:$A$812,IF($K$2="Non-Federal",Lists!$D$2:$D$812,Lists!$C$2:$C$812))</f>
        <v>0</v>
      </c>
      <c r="P28" s="205">
        <f ca="1">IF($A$5&lt;='BP1'!$K$5,(1+$K$7)*INDIRECT("BP"&amp;$A$5-1&amp;"!P28"),)</f>
        <v>0</v>
      </c>
      <c r="Q28" s="205">
        <f t="shared" si="0"/>
        <v>0</v>
      </c>
      <c r="R28" s="117" t="s">
        <v>486</v>
      </c>
    </row>
    <row r="29" spans="1:18" s="2" customFormat="1" ht="14.25" hidden="1" customHeight="1">
      <c r="A29" s="184">
        <v>15</v>
      </c>
      <c r="B29" s="830">
        <f>IF($A$5&lt;=$K$5,'BP1'!B29,)</f>
        <v>0</v>
      </c>
      <c r="C29" s="831"/>
      <c r="D29" s="831"/>
      <c r="E29" s="831"/>
      <c r="F29" s="832"/>
      <c r="G29" s="229">
        <f>IF($A$5&lt;=$K$5,'BP1'!G29,)</f>
        <v>0</v>
      </c>
      <c r="H29" s="219">
        <f>IF($G29&gt;0,'BP1'!H29,)</f>
        <v>0</v>
      </c>
      <c r="I29" s="220">
        <f>IF($G29&gt;0,'BP1'!I29,)</f>
        <v>0</v>
      </c>
      <c r="J29" s="220">
        <f>IF($G29&gt;0,'BP1'!J29,)</f>
        <v>0</v>
      </c>
      <c r="K29" s="140">
        <f t="shared" ca="1" si="2"/>
        <v>0</v>
      </c>
      <c r="L29" s="141">
        <f ca="1">IF(K29&gt;1,K29*LOOKUP($K$8,Lists!$A$2:$A$812,IF($K$2="Non-Federal",Lists!$D$2:$D$812,Lists!$C$2:$C$812)),0)</f>
        <v>0</v>
      </c>
      <c r="M29" s="234">
        <f>IF(G29&gt;0,'BP1'!M29,)</f>
        <v>0</v>
      </c>
      <c r="N29" s="140">
        <f t="shared" ca="1" si="1"/>
        <v>0</v>
      </c>
      <c r="O29" s="141">
        <f ca="1">N29*LOOKUP($K$8,Lists!$A$2:$A$812,IF($K$2="Non-Federal",Lists!$D$2:$D$812,Lists!$C$2:$C$812))</f>
        <v>0</v>
      </c>
      <c r="P29" s="205">
        <f ca="1">IF($A$5&lt;='BP1'!$K$5,(1+$K$7)*INDIRECT("BP"&amp;$A$5-1&amp;"!P29"),)</f>
        <v>0</v>
      </c>
      <c r="Q29" s="205">
        <f t="shared" si="0"/>
        <v>0</v>
      </c>
      <c r="R29" s="117" t="s">
        <v>486</v>
      </c>
    </row>
    <row r="30" spans="1:18" s="2" customFormat="1" ht="14.25" customHeight="1">
      <c r="A30" s="742" t="s">
        <v>203</v>
      </c>
      <c r="B30" s="743"/>
      <c r="C30" s="743"/>
      <c r="D30" s="743"/>
      <c r="E30" s="743"/>
      <c r="F30" s="744"/>
      <c r="G30" s="17"/>
      <c r="H30" s="200">
        <f t="shared" ref="H30:O30" si="3">SUM(H15:H29)</f>
        <v>0</v>
      </c>
      <c r="I30" s="200">
        <f t="shared" si="3"/>
        <v>0</v>
      </c>
      <c r="J30" s="200">
        <f t="shared" si="3"/>
        <v>0</v>
      </c>
      <c r="K30" s="142">
        <f t="shared" ca="1" si="3"/>
        <v>0</v>
      </c>
      <c r="L30" s="141">
        <f t="shared" ca="1" si="3"/>
        <v>0</v>
      </c>
      <c r="M30" s="234">
        <f t="shared" si="3"/>
        <v>0</v>
      </c>
      <c r="N30" s="142">
        <f t="shared" ca="1" si="3"/>
        <v>0</v>
      </c>
      <c r="O30" s="141">
        <f t="shared" ca="1" si="3"/>
        <v>0</v>
      </c>
      <c r="P30" s="59"/>
      <c r="Q30" s="327"/>
      <c r="R30" s="117" t="s">
        <v>219</v>
      </c>
    </row>
    <row r="31" spans="1:18" s="2" customFormat="1" ht="14.25" customHeight="1">
      <c r="A31" s="185" t="s">
        <v>204</v>
      </c>
      <c r="B31" s="180"/>
      <c r="C31" s="180"/>
      <c r="D31" s="182"/>
      <c r="E31" s="182"/>
      <c r="F31" s="182"/>
      <c r="G31" s="18"/>
      <c r="H31" s="15"/>
      <c r="I31" s="16"/>
      <c r="J31" s="16"/>
      <c r="K31" s="26"/>
      <c r="L31" s="357"/>
      <c r="M31" s="358"/>
      <c r="N31" s="26"/>
      <c r="O31" s="27"/>
      <c r="P31" s="195" t="s">
        <v>109</v>
      </c>
      <c r="Q31" s="328"/>
      <c r="R31" s="117" t="s">
        <v>219</v>
      </c>
    </row>
    <row r="32" spans="1:18" s="2" customFormat="1" ht="14.25" customHeight="1">
      <c r="A32" s="185" t="s">
        <v>3</v>
      </c>
      <c r="B32" s="381">
        <f>IF($A$5&lt;=$K$5,'BP1'!B32,0)</f>
        <v>0</v>
      </c>
      <c r="C32" s="180" t="s">
        <v>457</v>
      </c>
      <c r="D32" s="182" t="str">
        <f>"Postdoctoral Associate"&amp;IF(B32&gt;0,"s",)</f>
        <v>Postdoctoral Associate</v>
      </c>
      <c r="E32" s="182"/>
      <c r="F32" s="182"/>
      <c r="G32" s="436">
        <v>12</v>
      </c>
      <c r="H32" s="198">
        <f>IF($A$5&lt;=$K$5,(IF('BP1'!H32&lt;&gt;'BP1'!B32*12,'BP1'!H32,B32*12)),0)</f>
        <v>0</v>
      </c>
      <c r="I32" s="105"/>
      <c r="J32" s="105"/>
      <c r="K32" s="140">
        <f t="shared" ref="K32:K40" ca="1" si="4">IFERROR(P32/12*H32,)</f>
        <v>0</v>
      </c>
      <c r="L32" s="141">
        <f>IF($A$5&lt;=$K$5,K32*LOOKUP($K$8,Lists!$A$2:$A$812,IF('BP1'!$K$2="Non-Federal",Lists!$D$2:$D$812,Lists!$C$2:$C$812)),0)</f>
        <v>0</v>
      </c>
      <c r="M32" s="234">
        <f>IF(B32&gt;0,'BP1'!M32,)</f>
        <v>0</v>
      </c>
      <c r="N32" s="140">
        <f ca="1">IFERROR(P32/12*M32,)</f>
        <v>0</v>
      </c>
      <c r="O32" s="141">
        <f ca="1">N32*LOOKUP($K$8,Lists!$A$2:$A$812,IF($K$2="Non-Federal",Lists!$D$2:$D$812,Lists!$C$2:$C$812))</f>
        <v>0</v>
      </c>
      <c r="P32" s="205">
        <f ca="1">IF($A$5&lt;=$K$5,INDIRECT("BP"&amp;$A$5-1&amp;"!P32")*(1+$K$7),0)</f>
        <v>0</v>
      </c>
      <c r="Q32" s="326"/>
      <c r="R32" s="117" t="s">
        <v>219</v>
      </c>
    </row>
    <row r="33" spans="1:18" s="2" customFormat="1" ht="14.25" customHeight="1">
      <c r="A33" s="185" t="s">
        <v>488</v>
      </c>
      <c r="B33" s="381">
        <f>IF($A$5&lt;=$K$5,'BP1'!B33,0)</f>
        <v>0</v>
      </c>
      <c r="C33" s="180" t="s">
        <v>457</v>
      </c>
      <c r="D33" s="182" t="str">
        <f>'BP1'!D33</f>
        <v>Other Professional</v>
      </c>
      <c r="E33" s="182"/>
      <c r="F33" s="182"/>
      <c r="G33" s="436">
        <v>12</v>
      </c>
      <c r="H33" s="198">
        <f>IF($A$5&lt;=$K$5,(IF('BP1'!H33&lt;&gt;'BP1'!B33*12,'BP1'!H33,B33*12)),0)</f>
        <v>0</v>
      </c>
      <c r="I33" s="105"/>
      <c r="J33" s="105"/>
      <c r="K33" s="140">
        <f t="shared" ca="1" si="4"/>
        <v>0</v>
      </c>
      <c r="L33" s="141">
        <f>IF($A$5&lt;=$K$5,K33*LOOKUP($K$8,Lists!$A$2:$A$812,IF('BP1'!$K$2="Non-Federal",Lists!$D$2:$D$812,Lists!$C$2:$C$812)),0)</f>
        <v>0</v>
      </c>
      <c r="M33" s="234">
        <f>IF(B33&gt;0,'BP1'!M33,)</f>
        <v>0</v>
      </c>
      <c r="N33" s="140">
        <f t="shared" ref="N33:N40" ca="1" si="5">IFERROR(P33/12*M33,)</f>
        <v>0</v>
      </c>
      <c r="O33" s="141">
        <f ca="1">N33*LOOKUP($K$8,Lists!$A$2:$A$812,IF($K$2="Non-Federal",Lists!$D$2:$D$812,Lists!$C$2:$C$812))</f>
        <v>0</v>
      </c>
      <c r="P33" s="205">
        <f ca="1">IF($A$5&lt;=$K$5,INDIRECT("BP"&amp;$A$5-1&amp;"!P33")*(1+$K$7),0)</f>
        <v>0</v>
      </c>
      <c r="Q33" s="326"/>
      <c r="R33" s="117" t="s">
        <v>219</v>
      </c>
    </row>
    <row r="34" spans="1:18" s="2" customFormat="1" ht="14.25" hidden="1" customHeight="1">
      <c r="A34" s="185" t="s">
        <v>489</v>
      </c>
      <c r="B34" s="381">
        <f>IF($A$5&lt;=$K$5,'BP1'!B34,0)</f>
        <v>0</v>
      </c>
      <c r="C34" s="180" t="s">
        <v>457</v>
      </c>
      <c r="D34" s="182" t="str">
        <f>'BP1'!D34</f>
        <v>Other Professional</v>
      </c>
      <c r="E34" s="182"/>
      <c r="F34" s="182"/>
      <c r="G34" s="436">
        <v>12</v>
      </c>
      <c r="H34" s="198">
        <f>IF($A$5&lt;=$K$5,(IF('BP1'!H34&lt;&gt;'BP1'!B34*12,'BP1'!H34,B34*12)),0)</f>
        <v>0</v>
      </c>
      <c r="I34" s="105"/>
      <c r="J34" s="105"/>
      <c r="K34" s="140">
        <f t="shared" ca="1" si="4"/>
        <v>0</v>
      </c>
      <c r="L34" s="141">
        <f>IF($A$5&lt;=$K$5,K34*LOOKUP($K$8,Lists!$A$2:$A$812,IF('BP1'!$K$2="Non-Federal",Lists!$D$2:$D$812,Lists!$C$2:$C$812)),0)</f>
        <v>0</v>
      </c>
      <c r="M34" s="234">
        <f>IF(B34&gt;0,'BP1'!M34,)</f>
        <v>0</v>
      </c>
      <c r="N34" s="140">
        <f t="shared" ca="1" si="5"/>
        <v>0</v>
      </c>
      <c r="O34" s="141">
        <f ca="1">N34*LOOKUP($K$8,Lists!$A$2:$A$812,IF($K$2="Non-Federal",Lists!$D$2:$D$812,Lists!$C$2:$C$812))</f>
        <v>0</v>
      </c>
      <c r="P34" s="205">
        <f ca="1">IF($A$5&lt;=$K$5,INDIRECT("BP"&amp;$A$5-1&amp;"!P34")*(1+$K$7),0)</f>
        <v>0</v>
      </c>
      <c r="Q34" s="326"/>
      <c r="R34" s="117" t="s">
        <v>493</v>
      </c>
    </row>
    <row r="35" spans="1:18" s="2" customFormat="1" ht="14.25" hidden="1" customHeight="1">
      <c r="A35" s="185" t="s">
        <v>490</v>
      </c>
      <c r="B35" s="381">
        <f>IF($A$5&lt;=$K$5,'BP1'!B35,0)</f>
        <v>0</v>
      </c>
      <c r="C35" s="180" t="s">
        <v>457</v>
      </c>
      <c r="D35" s="182" t="str">
        <f>'BP1'!D35</f>
        <v>Other Professional</v>
      </c>
      <c r="E35" s="182"/>
      <c r="F35" s="182"/>
      <c r="G35" s="436">
        <v>12</v>
      </c>
      <c r="H35" s="198">
        <f>IF($A$5&lt;=$K$5,(IF('BP1'!H35&lt;&gt;'BP1'!B35*12,'BP1'!H35,B35*12)),0)</f>
        <v>0</v>
      </c>
      <c r="I35" s="105"/>
      <c r="J35" s="105"/>
      <c r="K35" s="140">
        <f t="shared" ca="1" si="4"/>
        <v>0</v>
      </c>
      <c r="L35" s="141">
        <f>IF($A$5&lt;=$K$5,K35*LOOKUP($K$8,Lists!$A$2:$A$812,IF('BP1'!$K$2="Non-Federal",Lists!$D$2:$D$812,Lists!$C$2:$C$812)),0)</f>
        <v>0</v>
      </c>
      <c r="M35" s="234">
        <f>IF(B35&gt;0,'BP1'!M35,)</f>
        <v>0</v>
      </c>
      <c r="N35" s="140">
        <f t="shared" ca="1" si="5"/>
        <v>0</v>
      </c>
      <c r="O35" s="141">
        <f ca="1">N35*LOOKUP($K$8,Lists!$A$2:$A$812,IF($K$2="Non-Federal",Lists!$D$2:$D$812,Lists!$C$2:$C$812))</f>
        <v>0</v>
      </c>
      <c r="P35" s="205">
        <f ca="1">IF($A$5&lt;=$K$5,INDIRECT("BP"&amp;$A$5-1&amp;"!P35")*(1+$K$7),0)</f>
        <v>0</v>
      </c>
      <c r="Q35" s="326"/>
      <c r="R35" s="117" t="s">
        <v>493</v>
      </c>
    </row>
    <row r="36" spans="1:18" s="2" customFormat="1" ht="14.25" hidden="1" customHeight="1">
      <c r="A36" s="185" t="s">
        <v>491</v>
      </c>
      <c r="B36" s="381">
        <f>IF($A$5&lt;=$K$5,'BP1'!B36,0)</f>
        <v>0</v>
      </c>
      <c r="C36" s="180" t="s">
        <v>457</v>
      </c>
      <c r="D36" s="182" t="str">
        <f>'BP1'!D36</f>
        <v>Other Professional</v>
      </c>
      <c r="E36" s="182"/>
      <c r="F36" s="182"/>
      <c r="G36" s="436">
        <v>12</v>
      </c>
      <c r="H36" s="198">
        <f>IF($A$5&lt;=$K$5,(IF('BP1'!H36&lt;&gt;'BP1'!B36*12,'BP1'!H36,B36*12)),0)</f>
        <v>0</v>
      </c>
      <c r="I36" s="105"/>
      <c r="J36" s="105"/>
      <c r="K36" s="140">
        <f t="shared" ca="1" si="4"/>
        <v>0</v>
      </c>
      <c r="L36" s="141">
        <f>IF($A$5&lt;=$K$5,K36*LOOKUP($K$8,Lists!$A$2:$A$812,IF('BP1'!$K$2="Non-Federal",Lists!$D$2:$D$812,Lists!$C$2:$C$812)),0)</f>
        <v>0</v>
      </c>
      <c r="M36" s="234">
        <f>IF(B36&gt;0,'BP1'!M36,)</f>
        <v>0</v>
      </c>
      <c r="N36" s="140">
        <f t="shared" ca="1" si="5"/>
        <v>0</v>
      </c>
      <c r="O36" s="141">
        <f ca="1">N36*LOOKUP($K$8,Lists!$A$2:$A$812,IF($K$2="Non-Federal",Lists!$D$2:$D$812,Lists!$C$2:$C$812))</f>
        <v>0</v>
      </c>
      <c r="P36" s="205">
        <f ca="1">IF($A$5&lt;=$K$5,INDIRECT("BP"&amp;$A$5-1&amp;"!P36")*(1+$K$7),0)</f>
        <v>0</v>
      </c>
      <c r="Q36" s="326"/>
      <c r="R36" s="117" t="s">
        <v>493</v>
      </c>
    </row>
    <row r="37" spans="1:18" s="2" customFormat="1" ht="14.25" hidden="1" customHeight="1">
      <c r="A37" s="185" t="s">
        <v>492</v>
      </c>
      <c r="B37" s="381">
        <f>IF($A$5&lt;=$K$5,'BP1'!B37,0)</f>
        <v>0</v>
      </c>
      <c r="C37" s="180" t="s">
        <v>457</v>
      </c>
      <c r="D37" s="182" t="str">
        <f>'BP1'!D37</f>
        <v>Other Professional</v>
      </c>
      <c r="E37" s="182"/>
      <c r="F37" s="182"/>
      <c r="G37" s="436">
        <v>12</v>
      </c>
      <c r="H37" s="198">
        <f>IF($A$5&lt;=$K$5,(IF('BP1'!H37&lt;&gt;'BP1'!B37*12,'BP1'!H37,B37*12)),0)</f>
        <v>0</v>
      </c>
      <c r="I37" s="105"/>
      <c r="J37" s="105"/>
      <c r="K37" s="140">
        <f t="shared" ca="1" si="4"/>
        <v>0</v>
      </c>
      <c r="L37" s="141">
        <f>IF($A$5&lt;=$K$5,K37*LOOKUP($K$8,Lists!$A$2:$A$812,IF('BP1'!$K$2="Non-Federal",Lists!$D$2:$D$812,Lists!$C$2:$C$812)),0)</f>
        <v>0</v>
      </c>
      <c r="M37" s="234">
        <f>IF(B37&gt;0,'BP1'!M37,)</f>
        <v>0</v>
      </c>
      <c r="N37" s="140">
        <f t="shared" ca="1" si="5"/>
        <v>0</v>
      </c>
      <c r="O37" s="141">
        <f ca="1">N37*LOOKUP($K$8,Lists!$A$2:$A$812,IF($K$2="Non-Federal",Lists!$D$2:$D$812,Lists!$C$2:$C$812))</f>
        <v>0</v>
      </c>
      <c r="P37" s="205">
        <f ca="1">IF($A$5&lt;=$K$5,INDIRECT("BP"&amp;$A$5-1&amp;"!P37")*(1+$K$7),0)</f>
        <v>0</v>
      </c>
      <c r="Q37" s="326"/>
      <c r="R37" s="117" t="s">
        <v>493</v>
      </c>
    </row>
    <row r="38" spans="1:18" s="2" customFormat="1" ht="14.25" customHeight="1">
      <c r="A38" s="185" t="s">
        <v>4</v>
      </c>
      <c r="B38" s="381">
        <f>IF($A$5&lt;=$K$5,'BP1'!B38,0)</f>
        <v>0</v>
      </c>
      <c r="C38" s="180" t="s">
        <v>457</v>
      </c>
      <c r="D38" s="182" t="str">
        <f>"Graduate Student"&amp;IF(B38&gt;0,"s",)</f>
        <v>Graduate Student</v>
      </c>
      <c r="E38" s="182"/>
      <c r="F38" s="182"/>
      <c r="G38" s="436">
        <v>12</v>
      </c>
      <c r="H38" s="198">
        <f>IF($A$5&lt;=$K$5,(IF('BP1'!H38&lt;&gt;'BP1'!B38*12,'BP1'!H38,B38*12)),0)</f>
        <v>0</v>
      </c>
      <c r="I38" s="105"/>
      <c r="J38" s="105"/>
      <c r="K38" s="140">
        <f t="shared" ca="1" si="4"/>
        <v>0</v>
      </c>
      <c r="L38" s="141">
        <f>IF($A$5&lt;=$K$5,K38*LOOKUP($K$8,Lists!$A$2:$A$812,Lists!$F$2:$F$812),0)</f>
        <v>0</v>
      </c>
      <c r="M38" s="234">
        <f>IF(B38&gt;0,'BP1'!M38,)</f>
        <v>0</v>
      </c>
      <c r="N38" s="140">
        <f t="shared" ca="1" si="5"/>
        <v>0</v>
      </c>
      <c r="O38" s="141">
        <f ca="1">N38*LOOKUP($K$8,Lists!$A$2:$A$812,Lists!$F$2:$F$812)</f>
        <v>0</v>
      </c>
      <c r="P38" s="205">
        <f ca="1">IF($A$5&lt;=$K$5,INDIRECT("BP"&amp;$A$5-1&amp;"!P38")*(1+$K$7),0)</f>
        <v>0</v>
      </c>
      <c r="Q38" s="326"/>
      <c r="R38" s="117" t="s">
        <v>219</v>
      </c>
    </row>
    <row r="39" spans="1:18" s="2" customFormat="1" ht="14.25" customHeight="1">
      <c r="A39" s="185" t="s">
        <v>5</v>
      </c>
      <c r="B39" s="381">
        <f>IF($A$5&lt;=$K$5,'BP1'!B39,0)</f>
        <v>0</v>
      </c>
      <c r="C39" s="180" t="s">
        <v>457</v>
      </c>
      <c r="D39" s="182" t="str">
        <f>"Undergraduate Student"&amp;IF(B39&gt;0,"s",)</f>
        <v>Undergraduate Student</v>
      </c>
      <c r="E39" s="182"/>
      <c r="F39" s="182"/>
      <c r="G39" s="436">
        <v>12</v>
      </c>
      <c r="H39" s="198">
        <f>IF($A$5&lt;=$K$5,(IF('BP1'!H39&lt;&gt;'BP1'!B39*12,'BP1'!H39,B39*12)),0)</f>
        <v>0</v>
      </c>
      <c r="I39" s="105"/>
      <c r="J39" s="105"/>
      <c r="K39" s="140">
        <f t="shared" ca="1" si="4"/>
        <v>0</v>
      </c>
      <c r="L39" s="105"/>
      <c r="M39" s="234">
        <f>IF(B39&gt;0,'BP1'!M39,)</f>
        <v>0</v>
      </c>
      <c r="N39" s="140">
        <f t="shared" ca="1" si="5"/>
        <v>0</v>
      </c>
      <c r="O39" s="199"/>
      <c r="P39" s="205">
        <f ca="1">IF($A$5&lt;=$K$5,INDIRECT("BP"&amp;$A$5-1&amp;"!P39")*(1+$K$7),0)</f>
        <v>0</v>
      </c>
      <c r="Q39" s="326"/>
      <c r="R39" s="117" t="s">
        <v>219</v>
      </c>
    </row>
    <row r="40" spans="1:18" s="2" customFormat="1" ht="14.25" customHeight="1" thickBot="1">
      <c r="A40" s="185" t="s">
        <v>6</v>
      </c>
      <c r="B40" s="381">
        <f>IF($A$5&lt;=$K$5,'BP1'!B40,0)</f>
        <v>0</v>
      </c>
      <c r="C40" s="180" t="s">
        <v>457</v>
      </c>
      <c r="D40" s="182" t="str">
        <f>"Other"&amp;IF(B40&gt;0,"s",)&amp;" (Carrying Statutory Benefits)"</f>
        <v>Other (Carrying Statutory Benefits)</v>
      </c>
      <c r="E40" s="182"/>
      <c r="F40" s="182"/>
      <c r="G40" s="436">
        <v>12</v>
      </c>
      <c r="H40" s="198">
        <f>IF($A$5&lt;=$K$5,(IF('BP1'!H40&lt;&gt;'BP1'!B40*12,'BP1'!H40,B40*12)),0)</f>
        <v>0</v>
      </c>
      <c r="I40" s="105"/>
      <c r="J40" s="105"/>
      <c r="K40" s="140">
        <f t="shared" ca="1" si="4"/>
        <v>0</v>
      </c>
      <c r="L40" s="141">
        <f>IF($A$5&lt;=$K$5,K40*LOOKUP($K$8,Lists!$A$2:$A4788,Lists!$E$2:$E$812),0)</f>
        <v>0</v>
      </c>
      <c r="M40" s="234">
        <f>IF(B40&gt;0,'BP1'!M40,)</f>
        <v>0</v>
      </c>
      <c r="N40" s="140">
        <f t="shared" ca="1" si="5"/>
        <v>0</v>
      </c>
      <c r="O40" s="141">
        <f ca="1">N40*LOOKUP($K$8,Lists!$A$2:$A$812,Lists!$E$2:$E$812)</f>
        <v>0</v>
      </c>
      <c r="P40" s="205">
        <f ca="1">IF($A$5&lt;=$K$5,INDIRECT("BP"&amp;$A$5-1&amp;"!P40")*(1+$K$7),0)</f>
        <v>0</v>
      </c>
      <c r="Q40" s="326"/>
      <c r="R40" s="117" t="s">
        <v>219</v>
      </c>
    </row>
    <row r="41" spans="1:18" s="2" customFormat="1" ht="14.25" customHeight="1" thickBot="1">
      <c r="A41" s="163"/>
      <c r="B41" s="180" t="s">
        <v>90</v>
      </c>
      <c r="C41" s="164"/>
      <c r="D41" s="158"/>
      <c r="E41" s="158"/>
      <c r="F41" s="158"/>
      <c r="G41" s="158"/>
      <c r="H41" s="165"/>
      <c r="I41" s="166"/>
      <c r="J41" s="164"/>
      <c r="K41" s="752">
        <f>IF($A$5&lt;=$K$5,SUM(K30:K40),0)</f>
        <v>0</v>
      </c>
      <c r="L41" s="753"/>
      <c r="M41" s="231"/>
      <c r="N41" s="767">
        <f ca="1">SUM(N30:N40)</f>
        <v>0</v>
      </c>
      <c r="O41" s="772"/>
      <c r="R41" s="117" t="s">
        <v>219</v>
      </c>
    </row>
    <row r="42" spans="1:18" s="2" customFormat="1" ht="14.25" customHeight="1" thickBot="1">
      <c r="A42" s="185" t="s">
        <v>91</v>
      </c>
      <c r="B42" s="164"/>
      <c r="C42" s="164"/>
      <c r="D42" s="156"/>
      <c r="E42" s="156"/>
      <c r="F42" s="167"/>
      <c r="G42" s="168"/>
      <c r="H42" s="169"/>
      <c r="I42" s="166"/>
      <c r="J42" s="164"/>
      <c r="K42" s="752">
        <f>IF($A$5&lt;=$K$5,SUM(L30:L40),0)</f>
        <v>0</v>
      </c>
      <c r="L42" s="753"/>
      <c r="M42" s="231"/>
      <c r="N42" s="767">
        <f ca="1">SUM(O30:O40)</f>
        <v>0</v>
      </c>
      <c r="O42" s="772"/>
      <c r="R42" s="117" t="s">
        <v>219</v>
      </c>
    </row>
    <row r="43" spans="1:18" s="2" customFormat="1" ht="14.25" customHeight="1" thickBot="1">
      <c r="A43" s="148"/>
      <c r="B43" s="186" t="s">
        <v>206</v>
      </c>
      <c r="C43" s="149"/>
      <c r="D43" s="150"/>
      <c r="E43" s="150"/>
      <c r="F43" s="150"/>
      <c r="G43" s="150"/>
      <c r="H43" s="149"/>
      <c r="I43" s="149"/>
      <c r="J43" s="149"/>
      <c r="K43" s="752">
        <f>IF($A$5&lt;=$K$5,SUM(K41:K42),0)</f>
        <v>0</v>
      </c>
      <c r="L43" s="753"/>
      <c r="M43" s="231"/>
      <c r="N43" s="767">
        <f ca="1">SUM(N41:N42)</f>
        <v>0</v>
      </c>
      <c r="O43" s="772"/>
      <c r="R43" s="117" t="s">
        <v>219</v>
      </c>
    </row>
    <row r="44" spans="1:18" s="2" customFormat="1" ht="14.25" customHeight="1" thickBot="1">
      <c r="A44" s="183" t="s">
        <v>207</v>
      </c>
      <c r="B44" s="144"/>
      <c r="C44" s="144"/>
      <c r="D44" s="145"/>
      <c r="E44" s="145"/>
      <c r="F44" s="145"/>
      <c r="G44" s="145"/>
      <c r="H44" s="144"/>
      <c r="I44" s="159"/>
      <c r="J44" s="144"/>
      <c r="K44" s="20"/>
      <c r="L44" s="21"/>
      <c r="M44" s="231"/>
      <c r="N44" s="28"/>
      <c r="O44" s="29"/>
      <c r="R44" s="117" t="s">
        <v>219</v>
      </c>
    </row>
    <row r="45" spans="1:18" s="2" customFormat="1" ht="14.25" customHeight="1" thickBot="1">
      <c r="A45" s="162"/>
      <c r="B45" s="833"/>
      <c r="C45" s="834"/>
      <c r="D45" s="834"/>
      <c r="E45" s="834"/>
      <c r="F45" s="835"/>
      <c r="G45" s="160"/>
      <c r="H45" s="160"/>
      <c r="I45" s="187" t="s">
        <v>160</v>
      </c>
      <c r="J45" s="161"/>
      <c r="K45" s="861"/>
      <c r="L45" s="862"/>
      <c r="M45" s="231"/>
      <c r="N45" s="676"/>
      <c r="O45" s="677"/>
      <c r="R45" s="117" t="s">
        <v>219</v>
      </c>
    </row>
    <row r="46" spans="1:18" s="2" customFormat="1" ht="14.25" hidden="1" customHeight="1" thickBot="1">
      <c r="A46" s="162"/>
      <c r="B46" s="833"/>
      <c r="C46" s="834"/>
      <c r="D46" s="834"/>
      <c r="E46" s="834"/>
      <c r="F46" s="835"/>
      <c r="G46" s="160"/>
      <c r="H46" s="160"/>
      <c r="I46" s="187" t="s">
        <v>161</v>
      </c>
      <c r="J46" s="161"/>
      <c r="K46" s="861"/>
      <c r="L46" s="862"/>
      <c r="M46" s="231"/>
      <c r="N46" s="676"/>
      <c r="O46" s="677"/>
      <c r="R46" s="117" t="s">
        <v>487</v>
      </c>
    </row>
    <row r="47" spans="1:18" s="2" customFormat="1" ht="14.25" hidden="1" customHeight="1" thickBot="1">
      <c r="A47" s="162"/>
      <c r="B47" s="833"/>
      <c r="C47" s="834"/>
      <c r="D47" s="834"/>
      <c r="E47" s="834"/>
      <c r="F47" s="835"/>
      <c r="G47" s="160"/>
      <c r="H47" s="160"/>
      <c r="I47" s="187" t="s">
        <v>162</v>
      </c>
      <c r="J47" s="161"/>
      <c r="K47" s="861"/>
      <c r="L47" s="862"/>
      <c r="M47" s="231"/>
      <c r="N47" s="676"/>
      <c r="O47" s="677"/>
      <c r="R47" s="117" t="s">
        <v>487</v>
      </c>
    </row>
    <row r="48" spans="1:18" s="2" customFormat="1" ht="14.25" hidden="1" customHeight="1" thickBot="1">
      <c r="A48" s="162"/>
      <c r="B48" s="833"/>
      <c r="C48" s="834"/>
      <c r="D48" s="834"/>
      <c r="E48" s="834"/>
      <c r="F48" s="835"/>
      <c r="G48" s="160"/>
      <c r="H48" s="160"/>
      <c r="I48" s="187" t="s">
        <v>163</v>
      </c>
      <c r="J48" s="161"/>
      <c r="K48" s="861"/>
      <c r="L48" s="862"/>
      <c r="M48" s="231"/>
      <c r="N48" s="676"/>
      <c r="O48" s="677"/>
      <c r="R48" s="117" t="s">
        <v>487</v>
      </c>
    </row>
    <row r="49" spans="1:19" s="2" customFormat="1" ht="14.25" hidden="1" customHeight="1" thickBot="1">
      <c r="A49" s="162"/>
      <c r="B49" s="833"/>
      <c r="C49" s="834"/>
      <c r="D49" s="834"/>
      <c r="E49" s="834"/>
      <c r="F49" s="835"/>
      <c r="G49" s="160"/>
      <c r="H49" s="160"/>
      <c r="I49" s="187" t="s">
        <v>164</v>
      </c>
      <c r="J49" s="161"/>
      <c r="K49" s="861"/>
      <c r="L49" s="862"/>
      <c r="M49" s="231"/>
      <c r="N49" s="676"/>
      <c r="O49" s="677"/>
      <c r="R49" s="117" t="s">
        <v>487</v>
      </c>
    </row>
    <row r="50" spans="1:19" s="2" customFormat="1" ht="14.25" customHeight="1" thickBot="1">
      <c r="A50" s="154"/>
      <c r="B50" s="178" t="s">
        <v>208</v>
      </c>
      <c r="C50" s="155"/>
      <c r="D50" s="147"/>
      <c r="E50" s="147"/>
      <c r="F50" s="147"/>
      <c r="G50" s="147"/>
      <c r="H50" s="147"/>
      <c r="I50" s="147"/>
      <c r="J50" s="147"/>
      <c r="K50" s="762">
        <f>SUM(K45:K49)</f>
        <v>0</v>
      </c>
      <c r="L50" s="753"/>
      <c r="M50" s="231"/>
      <c r="N50" s="798">
        <f>SUM(N45:N49)</f>
        <v>0</v>
      </c>
      <c r="O50" s="799"/>
      <c r="R50" s="117" t="s">
        <v>219</v>
      </c>
    </row>
    <row r="51" spans="1:19" s="2" customFormat="1" ht="14.25" customHeight="1">
      <c r="A51" s="188" t="s">
        <v>209</v>
      </c>
      <c r="B51" s="186"/>
      <c r="C51" s="186"/>
      <c r="D51" s="189"/>
      <c r="E51" s="189"/>
      <c r="F51" s="190"/>
      <c r="G51" s="368" t="s">
        <v>458</v>
      </c>
      <c r="H51" s="758" t="s">
        <v>92</v>
      </c>
      <c r="I51" s="759"/>
      <c r="J51" s="759"/>
      <c r="K51" s="754">
        <f>IF($A$5&lt;=$K$5,(IF(SUM('Travel Calculator'!$L$14:$M$14)&gt;0,('Travel Calculator'!$L$10*(1-'Travel Calculator'!$N$4)),'BP1'!$K$51)),)</f>
        <v>0</v>
      </c>
      <c r="L51" s="755"/>
      <c r="M51" s="231"/>
      <c r="N51" s="754">
        <f>IF($A$5&lt;=$K$5,(IF(SUM('Travel Calculator'!$L$14:$M$14)&gt;0,('Travel Calculator'!$L$10*('Travel Calculator'!$N$4)),'BP1'!$N$51)),)</f>
        <v>0</v>
      </c>
      <c r="O51" s="755"/>
      <c r="R51" s="117" t="s">
        <v>219</v>
      </c>
    </row>
    <row r="52" spans="1:19" s="2" customFormat="1" ht="14.25" customHeight="1" thickBot="1">
      <c r="A52" s="188"/>
      <c r="B52" s="186"/>
      <c r="C52" s="186"/>
      <c r="D52" s="189"/>
      <c r="E52" s="189"/>
      <c r="F52" s="366"/>
      <c r="G52" s="368" t="s">
        <v>459</v>
      </c>
      <c r="H52" s="758" t="s">
        <v>93</v>
      </c>
      <c r="I52" s="759"/>
      <c r="J52" s="759"/>
      <c r="K52" s="764">
        <f>IF($A$5&lt;=$K$5,(IF(SUM('Travel Calculator'!$L$14:$M$14)&gt;0,('Travel Calculator'!$M$10*(1-'Travel Calculator'!$N$4)),'BP1'!$K$52)),)</f>
        <v>0</v>
      </c>
      <c r="L52" s="765"/>
      <c r="M52" s="231"/>
      <c r="N52" s="764">
        <f>IF($A$5&lt;=$K$5,(IF(SUM('Travel Calculator'!$L$14:$M$14)&gt;0,('Travel Calculator'!$M$10*('Travel Calculator'!$N$4)),'BP1'!$N$52)),)</f>
        <v>0</v>
      </c>
      <c r="O52" s="765"/>
      <c r="R52" s="117" t="s">
        <v>219</v>
      </c>
    </row>
    <row r="53" spans="1:19" s="2" customFormat="1" ht="14.25" customHeight="1" thickBot="1">
      <c r="A53" s="172"/>
      <c r="B53" s="178"/>
      <c r="C53" s="178"/>
      <c r="D53" s="192"/>
      <c r="E53" s="192"/>
      <c r="F53" s="192"/>
      <c r="G53" s="192"/>
      <c r="H53" s="760" t="s">
        <v>108</v>
      </c>
      <c r="I53" s="760"/>
      <c r="J53" s="761"/>
      <c r="K53" s="752">
        <f>IF($A$5&lt;=$K$5,K51+K52,0)</f>
        <v>0</v>
      </c>
      <c r="L53" s="753"/>
      <c r="M53" s="231"/>
      <c r="N53" s="767">
        <f>N51+N52</f>
        <v>0</v>
      </c>
      <c r="O53" s="772"/>
      <c r="R53" s="117" t="s">
        <v>219</v>
      </c>
    </row>
    <row r="54" spans="1:19" s="2" customFormat="1" ht="14.25" customHeight="1">
      <c r="A54" s="188" t="s">
        <v>210</v>
      </c>
      <c r="B54" s="186"/>
      <c r="C54" s="186"/>
      <c r="D54" s="189"/>
      <c r="E54" s="189"/>
      <c r="F54" s="189"/>
      <c r="G54" s="189"/>
      <c r="H54" s="186"/>
      <c r="I54" s="193"/>
      <c r="J54" s="186"/>
      <c r="K54" s="24"/>
      <c r="L54" s="21"/>
      <c r="M54" s="231"/>
      <c r="N54" s="30"/>
      <c r="O54" s="31"/>
      <c r="R54" s="117" t="s">
        <v>219</v>
      </c>
    </row>
    <row r="55" spans="1:19" s="2" customFormat="1" ht="14.25" customHeight="1">
      <c r="A55" s="188"/>
      <c r="B55" s="194">
        <v>1</v>
      </c>
      <c r="C55" s="680" t="str">
        <f>'BP1'!C55</f>
        <v>Materials and Supplies</v>
      </c>
      <c r="D55" s="680"/>
      <c r="E55" s="680"/>
      <c r="F55" s="680"/>
      <c r="G55" s="680"/>
      <c r="H55" s="680"/>
      <c r="I55" s="680"/>
      <c r="J55" s="758"/>
      <c r="K55" s="861">
        <f>IF($A$5&lt;=$K$5,'BP1'!K55:L55,0)</f>
        <v>0</v>
      </c>
      <c r="L55" s="862"/>
      <c r="M55" s="231"/>
      <c r="N55" s="676">
        <f>IF($A$5&lt;='BP1'!$K$5,'BP1'!N55,0)</f>
        <v>0</v>
      </c>
      <c r="O55" s="677"/>
      <c r="R55" s="117" t="s">
        <v>219</v>
      </c>
    </row>
    <row r="56" spans="1:19" s="2" customFormat="1" ht="14.25" customHeight="1">
      <c r="A56" s="188"/>
      <c r="B56" s="194">
        <v>2</v>
      </c>
      <c r="C56" s="680" t="str">
        <f>'BP1'!C56</f>
        <v>Publication Costs</v>
      </c>
      <c r="D56" s="680"/>
      <c r="E56" s="680"/>
      <c r="F56" s="680"/>
      <c r="G56" s="680"/>
      <c r="H56" s="680"/>
      <c r="I56" s="680"/>
      <c r="J56" s="758"/>
      <c r="K56" s="861">
        <f>IF($A$5&lt;=$K$5,'BP1'!K56:L56,0)</f>
        <v>0</v>
      </c>
      <c r="L56" s="862"/>
      <c r="M56" s="231"/>
      <c r="N56" s="676">
        <f>IF($A$5&lt;='BP1'!$K$5,'BP1'!N56,0)</f>
        <v>0</v>
      </c>
      <c r="O56" s="677"/>
      <c r="R56" s="117" t="s">
        <v>219</v>
      </c>
    </row>
    <row r="57" spans="1:19" s="2" customFormat="1" ht="14.25" customHeight="1">
      <c r="A57" s="188"/>
      <c r="B57" s="194">
        <v>3</v>
      </c>
      <c r="C57" s="680" t="str">
        <f>'BP1'!C57</f>
        <v>Consultant Services</v>
      </c>
      <c r="D57" s="680"/>
      <c r="E57" s="680"/>
      <c r="F57" s="680"/>
      <c r="G57" s="680"/>
      <c r="H57" s="680"/>
      <c r="I57" s="680"/>
      <c r="J57" s="758"/>
      <c r="K57" s="861">
        <f>IF($A$5&lt;=$K$5,'BP1'!K57:L57,0)</f>
        <v>0</v>
      </c>
      <c r="L57" s="862"/>
      <c r="M57" s="231"/>
      <c r="N57" s="676">
        <f>IF($A$5&lt;='BP1'!$K$5,'BP1'!N57,0)</f>
        <v>0</v>
      </c>
      <c r="O57" s="677"/>
      <c r="R57" s="117" t="s">
        <v>219</v>
      </c>
    </row>
    <row r="58" spans="1:19" s="2" customFormat="1" ht="14.25" customHeight="1">
      <c r="A58" s="188"/>
      <c r="B58" s="194">
        <v>4</v>
      </c>
      <c r="C58" s="680" t="str">
        <f>'BP1'!C58</f>
        <v>Computer Services</v>
      </c>
      <c r="D58" s="680"/>
      <c r="E58" s="680"/>
      <c r="F58" s="680"/>
      <c r="G58" s="680"/>
      <c r="H58" s="680"/>
      <c r="I58" s="680"/>
      <c r="J58" s="758"/>
      <c r="K58" s="861">
        <f>IF($A$5&lt;=$K$5,'BP1'!K58:L58,0)</f>
        <v>0</v>
      </c>
      <c r="L58" s="862"/>
      <c r="M58" s="231"/>
      <c r="N58" s="676">
        <f>IF($A$5&lt;='BP1'!$K$5,'BP1'!N58,0)</f>
        <v>0</v>
      </c>
      <c r="O58" s="677"/>
      <c r="R58" s="117" t="s">
        <v>219</v>
      </c>
    </row>
    <row r="59" spans="1:19" s="2" customFormat="1" ht="14.25" customHeight="1">
      <c r="A59" s="188"/>
      <c r="B59" s="194">
        <v>5</v>
      </c>
      <c r="C59" s="680" t="s">
        <v>215</v>
      </c>
      <c r="D59" s="680"/>
      <c r="E59" s="680"/>
      <c r="F59" s="680"/>
      <c r="G59" s="680"/>
      <c r="H59" s="680"/>
      <c r="I59" s="680"/>
      <c r="J59" s="758"/>
      <c r="K59" s="863">
        <f>IF($A$5&lt;=$K$5,SUM((H38/12)*LOOKUP(K8,Lists!A2:A812,Lists!K2:K812)),0)</f>
        <v>0</v>
      </c>
      <c r="L59" s="863"/>
      <c r="M59" s="231"/>
      <c r="N59" s="817">
        <f>IF($A$5&lt;='BP1'!$K$5,SUM((M38/12)*LOOKUP(K8,Lists!A2:A812,Lists!K2:K812)),0)</f>
        <v>0</v>
      </c>
      <c r="O59" s="836"/>
      <c r="P59" s="5"/>
      <c r="Q59" s="5"/>
      <c r="R59" s="117" t="s">
        <v>219</v>
      </c>
    </row>
    <row r="60" spans="1:19" s="2" customFormat="1" ht="14.25" customHeight="1">
      <c r="A60" s="188"/>
      <c r="B60" s="194">
        <v>6</v>
      </c>
      <c r="C60" s="680" t="str">
        <f>'BP1'!C60</f>
        <v>MTDC Other</v>
      </c>
      <c r="D60" s="680"/>
      <c r="E60" s="680"/>
      <c r="F60" s="680"/>
      <c r="G60" s="680"/>
      <c r="H60" s="680"/>
      <c r="I60" s="680"/>
      <c r="J60" s="758"/>
      <c r="K60" s="819">
        <f>IF($A$5&lt;=$K$5,'BP1'!K60:L60,0)</f>
        <v>0</v>
      </c>
      <c r="L60" s="819"/>
      <c r="M60" s="231"/>
      <c r="N60" s="676">
        <f>IF($A$5&lt;='BP1'!$K$5,'BP1'!N60,0)</f>
        <v>0</v>
      </c>
      <c r="O60" s="677"/>
      <c r="P60" s="5"/>
      <c r="Q60" s="5"/>
      <c r="R60" s="117" t="s">
        <v>219</v>
      </c>
    </row>
    <row r="61" spans="1:19" s="2" customFormat="1" ht="14.25" customHeight="1" thickBot="1">
      <c r="A61" s="188"/>
      <c r="B61" s="194">
        <v>7</v>
      </c>
      <c r="C61" s="680" t="str">
        <f>'BP1'!C61</f>
        <v>Non-MTDC Other (no indirect costs)</v>
      </c>
      <c r="D61" s="680"/>
      <c r="E61" s="680"/>
      <c r="F61" s="680"/>
      <c r="G61" s="680"/>
      <c r="H61" s="680"/>
      <c r="I61" s="680"/>
      <c r="J61" s="758"/>
      <c r="K61" s="824">
        <f>IF($A$5&lt;=$K$5,'BP1'!K61:L61,0)</f>
        <v>0</v>
      </c>
      <c r="L61" s="824"/>
      <c r="M61" s="231"/>
      <c r="N61" s="837">
        <f>IF($A$5&lt;='BP1'!$K$5,'BP1'!N61,0)</f>
        <v>0</v>
      </c>
      <c r="O61" s="838"/>
      <c r="P61" s="195" t="s">
        <v>147</v>
      </c>
      <c r="Q61" s="328"/>
      <c r="R61" s="117" t="s">
        <v>219</v>
      </c>
    </row>
    <row r="62" spans="1:19" s="2" customFormat="1" ht="14.25" customHeight="1" thickBot="1">
      <c r="A62" s="148"/>
      <c r="B62" s="213">
        <v>8</v>
      </c>
      <c r="C62" s="680" t="s">
        <v>566</v>
      </c>
      <c r="D62" s="680"/>
      <c r="E62" s="678" t="s">
        <v>292</v>
      </c>
      <c r="F62" s="679"/>
      <c r="G62" s="667">
        <f>'Subaward Calculator'!B8</f>
        <v>0</v>
      </c>
      <c r="H62" s="668"/>
      <c r="I62" s="669"/>
      <c r="J62" s="256">
        <f>IF('BP1'!K62&lt;25000,25000-('BP1'!K62),0)</f>
        <v>25000</v>
      </c>
      <c r="K62" s="670">
        <f>IF(AND(SUM('BP1'!K62)&gt;0,'Subaward Calculator'!AD9=0,'BP1'!K5&gt;1),'BP1'!K62,'Subaward Calculator'!J9)</f>
        <v>0</v>
      </c>
      <c r="L62" s="671"/>
      <c r="M62" s="231"/>
      <c r="N62" s="822">
        <f>IF(AND(SUM('BP1'!N62)&gt;0,'Subaward Calculator'!AF9=0,'BP1'!K5&gt;1),'BP1'!N62,'Subaward Calculator'!L9)</f>
        <v>0</v>
      </c>
      <c r="O62" s="823"/>
      <c r="P62" s="486">
        <f>'Subaward Calculator'!B9</f>
        <v>0</v>
      </c>
      <c r="Q62" s="334"/>
      <c r="R62" s="117" t="s">
        <v>219</v>
      </c>
      <c r="S62" s="60"/>
    </row>
    <row r="63" spans="1:19" s="2" customFormat="1" ht="14.25" hidden="1" customHeight="1" thickBot="1">
      <c r="A63" s="188"/>
      <c r="B63" s="213"/>
      <c r="C63" s="680" t="s">
        <v>567</v>
      </c>
      <c r="D63" s="680"/>
      <c r="E63" s="678" t="s">
        <v>292</v>
      </c>
      <c r="F63" s="679"/>
      <c r="G63" s="667">
        <f>'Subaward Calculator'!B11</f>
        <v>0</v>
      </c>
      <c r="H63" s="668"/>
      <c r="I63" s="669"/>
      <c r="J63" s="256">
        <f>IF('BP1'!K63&lt;25000,25000-('BP1'!K63),0)</f>
        <v>25000</v>
      </c>
      <c r="K63" s="670">
        <f>IF(AND(SUM('BP1'!K63)&gt;0,'Subaward Calculator'!AD12=0,'BP1'!K5&gt;1),'BP1'!K63,'Subaward Calculator'!J12)</f>
        <v>0</v>
      </c>
      <c r="L63" s="671"/>
      <c r="M63" s="231"/>
      <c r="N63" s="822">
        <f>IF(AND(SUM('BP1'!N63)&gt;0,'Subaward Calculator'!AF12=0,'BP1'!K5&gt;1),'BP1'!N63,'Subaward Calculator'!L12)</f>
        <v>0</v>
      </c>
      <c r="O63" s="823"/>
      <c r="P63" s="486">
        <f>'Subaward Calculator'!B12</f>
        <v>0</v>
      </c>
      <c r="Q63" s="334"/>
      <c r="R63" s="117" t="s">
        <v>222</v>
      </c>
      <c r="S63" s="60"/>
    </row>
    <row r="64" spans="1:19" s="2" customFormat="1" ht="14.25" hidden="1" customHeight="1" thickBot="1">
      <c r="A64" s="148"/>
      <c r="B64" s="213"/>
      <c r="C64" s="680" t="s">
        <v>568</v>
      </c>
      <c r="D64" s="680"/>
      <c r="E64" s="678" t="s">
        <v>292</v>
      </c>
      <c r="F64" s="679"/>
      <c r="G64" s="667">
        <f>'Subaward Calculator'!B14</f>
        <v>0</v>
      </c>
      <c r="H64" s="668"/>
      <c r="I64" s="669"/>
      <c r="J64" s="256">
        <f>IF('BP1'!K64&lt;25000,25000-('BP1'!K64),0)</f>
        <v>25000</v>
      </c>
      <c r="K64" s="670">
        <f>IF(AND(SUM('BP1'!K64)&gt;0,'Subaward Calculator'!AD15=0,'BP1'!K5&gt;1),'BP1'!K64,'Subaward Calculator'!J15)</f>
        <v>0</v>
      </c>
      <c r="L64" s="671"/>
      <c r="M64" s="231"/>
      <c r="N64" s="822">
        <f>IF(AND(SUM('BP1'!N64)&gt;0,'Subaward Calculator'!AF15=0,'BP1'!K5&gt;1),'BP1'!N64,'Subaward Calculator'!L15)</f>
        <v>0</v>
      </c>
      <c r="O64" s="823"/>
      <c r="P64" s="486">
        <f>'Subaward Calculator'!B15</f>
        <v>0</v>
      </c>
      <c r="Q64" s="334"/>
      <c r="R64" s="117" t="s">
        <v>222</v>
      </c>
      <c r="S64" s="60"/>
    </row>
    <row r="65" spans="1:19" s="2" customFormat="1" ht="14.25" hidden="1" customHeight="1" thickBot="1">
      <c r="A65" s="148"/>
      <c r="B65" s="213"/>
      <c r="C65" s="680" t="s">
        <v>569</v>
      </c>
      <c r="D65" s="680"/>
      <c r="E65" s="678" t="s">
        <v>292</v>
      </c>
      <c r="F65" s="679"/>
      <c r="G65" s="667">
        <f>'Subaward Calculator'!B17</f>
        <v>0</v>
      </c>
      <c r="H65" s="668"/>
      <c r="I65" s="669"/>
      <c r="J65" s="256">
        <f>IF('BP1'!$K$65&lt;25000,25000-('BP1'!$K$65),0)</f>
        <v>25000</v>
      </c>
      <c r="K65" s="670">
        <f>IF(AND(SUM('BP1'!K65)&gt;0,'Subaward Calculator'!AD18=0,'BP1'!K5&gt;1),'BP1'!K65,'Subaward Calculator'!J18)</f>
        <v>0</v>
      </c>
      <c r="L65" s="671"/>
      <c r="M65" s="231"/>
      <c r="N65" s="822">
        <f>IF(AND(SUM('BP1'!N65)&gt;0,'Subaward Calculator'!AF18=0,'BP1'!K5&gt;1),'BP1'!N65,'Subaward Calculator'!L18)</f>
        <v>0</v>
      </c>
      <c r="O65" s="823"/>
      <c r="P65" s="486">
        <f>'Subaward Calculator'!B18</f>
        <v>0</v>
      </c>
      <c r="Q65" s="334"/>
      <c r="R65" s="117" t="s">
        <v>222</v>
      </c>
      <c r="S65" s="60"/>
    </row>
    <row r="66" spans="1:19" s="2" customFormat="1" ht="14.25" hidden="1" customHeight="1" thickBot="1">
      <c r="A66" s="148"/>
      <c r="B66" s="213"/>
      <c r="C66" s="680" t="s">
        <v>570</v>
      </c>
      <c r="D66" s="680"/>
      <c r="E66" s="678" t="s">
        <v>292</v>
      </c>
      <c r="F66" s="679"/>
      <c r="G66" s="667">
        <f>'Subaward Calculator'!B20</f>
        <v>0</v>
      </c>
      <c r="H66" s="668"/>
      <c r="I66" s="669"/>
      <c r="J66" s="256">
        <f>IF('BP1'!$K$66&lt;25000,25000-('BP1'!$K$66),0)</f>
        <v>25000</v>
      </c>
      <c r="K66" s="670">
        <f>IF(AND(SUM('BP1'!K66)&gt;0,'Subaward Calculator'!AD21=0,'BP1'!K5&gt;1),'BP1'!K66,'Subaward Calculator'!J21)</f>
        <v>0</v>
      </c>
      <c r="L66" s="671"/>
      <c r="M66" s="231"/>
      <c r="N66" s="822">
        <f>IF(AND(SUM('BP1'!N66)&gt;0,'Subaward Calculator'!AF21=0,'BP1'!K5&gt;1),'BP1'!N66,'Subaward Calculator'!L21)</f>
        <v>0</v>
      </c>
      <c r="O66" s="823"/>
      <c r="P66" s="486">
        <f>'Subaward Calculator'!B21</f>
        <v>0</v>
      </c>
      <c r="Q66" s="334"/>
      <c r="R66" s="117" t="s">
        <v>222</v>
      </c>
      <c r="S66" s="60"/>
    </row>
    <row r="67" spans="1:19" s="2" customFormat="1" ht="14.25" hidden="1" customHeight="1" thickBot="1">
      <c r="A67" s="148"/>
      <c r="B67" s="213"/>
      <c r="C67" s="680" t="s">
        <v>571</v>
      </c>
      <c r="D67" s="680"/>
      <c r="E67" s="678" t="s">
        <v>292</v>
      </c>
      <c r="F67" s="679"/>
      <c r="G67" s="667">
        <f>'Subaward Calculator'!B23</f>
        <v>0</v>
      </c>
      <c r="H67" s="668"/>
      <c r="I67" s="669"/>
      <c r="J67" s="256">
        <f>IF('BP1'!$K$67&lt;25000,25000-('BP1'!$K$67),0)</f>
        <v>25000</v>
      </c>
      <c r="K67" s="670">
        <f>IF(AND(SUM('BP1'!K67)&gt;0,'Subaward Calculator'!AD24=0,'BP1'!K5&gt;1),'BP1'!K67,'Subaward Calculator'!J24)</f>
        <v>0</v>
      </c>
      <c r="L67" s="671"/>
      <c r="M67" s="231"/>
      <c r="N67" s="822">
        <f>IF(AND(SUM('BP1'!N67)&gt;0,'Subaward Calculator'!AF24=0,'BP1'!K5&gt;1),'BP1'!N67,'Subaward Calculator'!L24)</f>
        <v>0</v>
      </c>
      <c r="O67" s="823"/>
      <c r="P67" s="486">
        <f>'Subaward Calculator'!B24</f>
        <v>0</v>
      </c>
      <c r="Q67" s="334"/>
      <c r="R67" s="117" t="s">
        <v>222</v>
      </c>
      <c r="S67" s="60"/>
    </row>
    <row r="68" spans="1:19" s="2" customFormat="1" ht="14.25" hidden="1" customHeight="1" thickBot="1">
      <c r="A68" s="148"/>
      <c r="B68" s="213"/>
      <c r="C68" s="680" t="s">
        <v>572</v>
      </c>
      <c r="D68" s="680"/>
      <c r="E68" s="678" t="s">
        <v>292</v>
      </c>
      <c r="F68" s="679"/>
      <c r="G68" s="667">
        <f>'Subaward Calculator'!B26</f>
        <v>0</v>
      </c>
      <c r="H68" s="668"/>
      <c r="I68" s="669"/>
      <c r="J68" s="256">
        <f>IF('BP1'!$K$68&lt;25000,25000-('BP1'!$K$68),0)</f>
        <v>25000</v>
      </c>
      <c r="K68" s="670">
        <f>IF(AND(SUM('BP1'!K68)&gt;0,'Subaward Calculator'!AD27=0,'BP1'!K5&gt;1),'BP1'!K68,'Subaward Calculator'!J27)</f>
        <v>0</v>
      </c>
      <c r="L68" s="671"/>
      <c r="M68" s="231"/>
      <c r="N68" s="822">
        <f>IF(AND(SUM('BP1'!N68)&gt;0,'Subaward Calculator'!AF27=0,'BP1'!K5&gt;1),'BP1'!N68,'Subaward Calculator'!L27)</f>
        <v>0</v>
      </c>
      <c r="O68" s="823"/>
      <c r="P68" s="486">
        <f>'Subaward Calculator'!B27</f>
        <v>0</v>
      </c>
      <c r="Q68" s="334"/>
      <c r="R68" s="117" t="s">
        <v>223</v>
      </c>
      <c r="S68" s="60"/>
    </row>
    <row r="69" spans="1:19" s="2" customFormat="1" ht="14.25" hidden="1" customHeight="1" thickBot="1">
      <c r="A69" s="148"/>
      <c r="B69" s="213"/>
      <c r="C69" s="680" t="s">
        <v>573</v>
      </c>
      <c r="D69" s="680"/>
      <c r="E69" s="678" t="s">
        <v>292</v>
      </c>
      <c r="F69" s="679"/>
      <c r="G69" s="667">
        <f>'Subaward Calculator'!B29</f>
        <v>0</v>
      </c>
      <c r="H69" s="668"/>
      <c r="I69" s="669"/>
      <c r="J69" s="256">
        <f>IF('BP1'!$K$69&lt;25000,25000-('BP1'!$K$69),0)</f>
        <v>25000</v>
      </c>
      <c r="K69" s="670">
        <f>IF(AND(SUM('BP1'!K69)&gt;0,'Subaward Calculator'!AD30=0,'BP1'!K5&gt;1),'BP1'!K69,'Subaward Calculator'!J30)</f>
        <v>0</v>
      </c>
      <c r="L69" s="671"/>
      <c r="M69" s="231"/>
      <c r="N69" s="822">
        <f>IF(AND(SUM('BP1'!N69)&gt;0,'Subaward Calculator'!AF30=0,'BP1'!K5&gt;1),'BP1'!N69,'Subaward Calculator'!L30)</f>
        <v>0</v>
      </c>
      <c r="O69" s="823"/>
      <c r="P69" s="486">
        <f>'Subaward Calculator'!B30</f>
        <v>0</v>
      </c>
      <c r="Q69" s="334"/>
      <c r="R69" s="117" t="s">
        <v>223</v>
      </c>
      <c r="S69" s="60"/>
    </row>
    <row r="70" spans="1:19" s="2" customFormat="1" ht="14.25" hidden="1" customHeight="1" thickBot="1">
      <c r="A70" s="148"/>
      <c r="B70" s="213"/>
      <c r="C70" s="680" t="s">
        <v>574</v>
      </c>
      <c r="D70" s="680"/>
      <c r="E70" s="678" t="s">
        <v>292</v>
      </c>
      <c r="F70" s="679"/>
      <c r="G70" s="667">
        <f>'Subaward Calculator'!B32</f>
        <v>0</v>
      </c>
      <c r="H70" s="668"/>
      <c r="I70" s="669"/>
      <c r="J70" s="256">
        <f>IF('BP1'!$K$70&lt;25000,25000-('BP1'!$K$70),0)</f>
        <v>25000</v>
      </c>
      <c r="K70" s="670">
        <f>IF(AND(SUM('BP1'!K70)&gt;0,'Subaward Calculator'!AD33=0,'BP1'!K5&gt;1),'BP1'!K70,'Subaward Calculator'!J33)</f>
        <v>0</v>
      </c>
      <c r="L70" s="671"/>
      <c r="M70" s="231"/>
      <c r="N70" s="822">
        <f>IF(AND(SUM('BP1'!N70)&gt;0,'Subaward Calculator'!AF33=0,'BP1'!K5&gt;1),'BP1'!N70,'Subaward Calculator'!L33)</f>
        <v>0</v>
      </c>
      <c r="O70" s="823"/>
      <c r="P70" s="486">
        <f>'Subaward Calculator'!B33</f>
        <v>0</v>
      </c>
      <c r="Q70" s="334"/>
      <c r="R70" s="117" t="s">
        <v>223</v>
      </c>
      <c r="S70" s="60"/>
    </row>
    <row r="71" spans="1:19" s="2" customFormat="1" ht="14.25" hidden="1" customHeight="1" thickBot="1">
      <c r="A71" s="148"/>
      <c r="B71" s="213"/>
      <c r="C71" s="680" t="s">
        <v>575</v>
      </c>
      <c r="D71" s="680"/>
      <c r="E71" s="678" t="s">
        <v>292</v>
      </c>
      <c r="F71" s="679"/>
      <c r="G71" s="667">
        <f>'Subaward Calculator'!B35</f>
        <v>0</v>
      </c>
      <c r="H71" s="668"/>
      <c r="I71" s="669"/>
      <c r="J71" s="256">
        <f>IF('BP1'!$K$71&lt;25000,25000-('BP1'!$K$71),0)</f>
        <v>25000</v>
      </c>
      <c r="K71" s="670">
        <f>IF(AND(SUM('BP1'!K71)&gt;0,'Subaward Calculator'!AD36=0,'BP1'!K5&gt;1),'BP1'!K71,'Subaward Calculator'!J36)</f>
        <v>0</v>
      </c>
      <c r="L71" s="671"/>
      <c r="M71" s="231"/>
      <c r="N71" s="822">
        <f>IF(AND(SUM('BP1'!N71)&gt;0,'Subaward Calculator'!AF36=0,'BP1'!K5&gt;1),'BP1'!N71,'Subaward Calculator'!L36)</f>
        <v>0</v>
      </c>
      <c r="O71" s="823"/>
      <c r="P71" s="486">
        <f>'Subaward Calculator'!B36</f>
        <v>0</v>
      </c>
      <c r="Q71" s="334"/>
      <c r="R71" s="117" t="s">
        <v>223</v>
      </c>
      <c r="S71" s="60"/>
    </row>
    <row r="72" spans="1:19" s="2" customFormat="1" ht="14.25" hidden="1" customHeight="1" thickBot="1">
      <c r="A72" s="148"/>
      <c r="B72" s="213"/>
      <c r="C72" s="680" t="s">
        <v>576</v>
      </c>
      <c r="D72" s="680"/>
      <c r="E72" s="678" t="s">
        <v>292</v>
      </c>
      <c r="F72" s="679"/>
      <c r="G72" s="667">
        <f>'Subaward Calculator'!B38</f>
        <v>0</v>
      </c>
      <c r="H72" s="668"/>
      <c r="I72" s="669"/>
      <c r="J72" s="256">
        <f>IF('BP1'!$K$72&lt;25000,25000-('BP1'!$K$72),0)</f>
        <v>25000</v>
      </c>
      <c r="K72" s="670">
        <f>IF(AND(SUM('BP1'!K72)&gt;0,'Subaward Calculator'!AD39=0,'BP1'!K5&gt;1),'BP1'!K72,'Subaward Calculator'!J39)</f>
        <v>0</v>
      </c>
      <c r="L72" s="671"/>
      <c r="M72" s="231"/>
      <c r="N72" s="822">
        <f>IF(AND(SUM('BP1'!N72)&gt;0,'Subaward Calculator'!AF39=0,'BP1'!K5&gt;1),'BP1'!N72,'Subaward Calculator'!L39)</f>
        <v>0</v>
      </c>
      <c r="O72" s="823"/>
      <c r="P72" s="486">
        <f>'Subaward Calculator'!B39</f>
        <v>0</v>
      </c>
      <c r="Q72" s="334"/>
      <c r="R72" s="117" t="s">
        <v>223</v>
      </c>
      <c r="S72" s="60"/>
    </row>
    <row r="73" spans="1:19" s="2" customFormat="1" ht="14.25" hidden="1" customHeight="1" thickBot="1">
      <c r="A73" s="148"/>
      <c r="B73" s="213"/>
      <c r="C73" s="680" t="s">
        <v>577</v>
      </c>
      <c r="D73" s="680"/>
      <c r="E73" s="678" t="s">
        <v>292</v>
      </c>
      <c r="F73" s="679"/>
      <c r="G73" s="667">
        <f>'Subaward Calculator'!B41</f>
        <v>0</v>
      </c>
      <c r="H73" s="668"/>
      <c r="I73" s="669"/>
      <c r="J73" s="256">
        <f>IF('BP1'!$K$73&lt;25000,25000-('BP1'!$K$73),0)</f>
        <v>25000</v>
      </c>
      <c r="K73" s="670">
        <f>IF(AND(SUM('BP1'!K73)&gt;0,'Subaward Calculator'!AD42=0,'BP1'!K5&gt;1),'BP1'!K73,'Subaward Calculator'!J42)</f>
        <v>0</v>
      </c>
      <c r="L73" s="671"/>
      <c r="M73" s="231"/>
      <c r="N73" s="822">
        <f>IF(AND(SUM('BP1'!N73)&gt;0,'Subaward Calculator'!AF42=0,'BP1'!K5&gt;1),'BP1'!N73,'Subaward Calculator'!L42)</f>
        <v>0</v>
      </c>
      <c r="O73" s="823"/>
      <c r="P73" s="486">
        <f>'Subaward Calculator'!B42</f>
        <v>0</v>
      </c>
      <c r="Q73" s="334"/>
      <c r="R73" s="117" t="s">
        <v>223</v>
      </c>
      <c r="S73" s="60"/>
    </row>
    <row r="74" spans="1:19" s="2" customFormat="1" ht="14.25" customHeight="1" thickBot="1">
      <c r="A74" s="188" t="s">
        <v>94</v>
      </c>
      <c r="B74" s="149"/>
      <c r="C74" s="149"/>
      <c r="D74" s="152"/>
      <c r="E74" s="153"/>
      <c r="F74" s="153"/>
      <c r="G74" s="153"/>
      <c r="H74" s="149"/>
      <c r="I74" s="151"/>
      <c r="J74" s="149"/>
      <c r="K74" s="752">
        <f>IF($A$5&lt;=$K$5,SUM(K55:$K$73),0)</f>
        <v>0</v>
      </c>
      <c r="L74" s="753"/>
      <c r="M74" s="231"/>
      <c r="N74" s="767">
        <f>SUM(N55:N73)</f>
        <v>0</v>
      </c>
      <c r="O74" s="772"/>
      <c r="R74" s="117" t="s">
        <v>219</v>
      </c>
    </row>
    <row r="75" spans="1:19" s="2" customFormat="1" ht="14.25" customHeight="1" thickBot="1">
      <c r="A75" s="188" t="s">
        <v>582</v>
      </c>
      <c r="B75" s="149"/>
      <c r="C75" s="149"/>
      <c r="D75" s="150"/>
      <c r="E75" s="150"/>
      <c r="F75" s="150"/>
      <c r="G75" s="150"/>
      <c r="H75" s="149"/>
      <c r="I75" s="151"/>
      <c r="J75" s="149"/>
      <c r="K75" s="752">
        <f>IF($A$5&lt;=$K$5,SUM(K43+K50+K53+$K$74),0)</f>
        <v>0</v>
      </c>
      <c r="L75" s="753"/>
      <c r="M75" s="231"/>
      <c r="N75" s="767">
        <f ca="1">SUM(N43+N50+N53+N74)</f>
        <v>0</v>
      </c>
      <c r="O75" s="772"/>
      <c r="R75" s="117" t="s">
        <v>219</v>
      </c>
    </row>
    <row r="76" spans="1:19" s="2" customFormat="1" ht="14.25" customHeight="1" thickBot="1">
      <c r="A76" s="188" t="str">
        <f>IF('Appendix C-Grants.gov Form Info'!J1&gt;0,IF(AND(SUM(K62:K73)&gt;0,'Subaward Calculator'!AD46=0),"","     Total NU Direct Costs and Subaward Direct Costs"),"")</f>
        <v/>
      </c>
      <c r="B76" s="149"/>
      <c r="C76" s="149"/>
      <c r="D76" s="150"/>
      <c r="E76" s="150"/>
      <c r="F76" s="150"/>
      <c r="G76" s="150"/>
      <c r="H76" s="149"/>
      <c r="I76" s="151"/>
      <c r="J76" s="149"/>
      <c r="K76" s="752" t="str">
        <f>IF('Appendix C-Grants.gov Form Info'!J1&gt;0,IF(AND(SUM(K62:K73)&gt;0,'Subaward Calculator'!AD46=0),"",IF($A$5&lt;=$K$5,SUM(K43+K50+K53+$K$74),0)-'Subaward Calculator'!J46+'Subaward Calculator'!J44),"")</f>
        <v/>
      </c>
      <c r="L76" s="753"/>
      <c r="M76" s="231"/>
      <c r="N76"/>
      <c r="O76" s="81"/>
      <c r="P76" s="1"/>
      <c r="Q76" s="1"/>
      <c r="R76" s="117" t="s">
        <v>219</v>
      </c>
    </row>
    <row r="77" spans="1:19" s="2" customFormat="1" ht="14.25" customHeight="1">
      <c r="A77" s="183"/>
      <c r="B77" s="191"/>
      <c r="C77" s="191"/>
      <c r="D77" s="191"/>
      <c r="E77" s="145"/>
      <c r="F77" s="372" t="str">
        <f>IF(OR($L$2="No F&amp;A",$L$2="Custom"),"","Current Fiscal Year Base Rate =")</f>
        <v>Current Fiscal Year Base Rate =</v>
      </c>
      <c r="G77" s="816">
        <f>IF($L$2="No F&amp;A",$L$2,IF($L$2="Custom","Enter Custom Rate:",(VLOOKUP((IF($K$8&gt;=DATE(YEAR($K$8),9,1),DATE(YEAR($K$8),9,1),DATE(YEAR($K$8)-1,9,1))),Lists!A:Q,(MATCH('BP1'!$K$2&amp;" "&amp;'BP1'!$L$2,Lists!$M$1:$Q$1,0)+12),1))))</f>
        <v>0.6</v>
      </c>
      <c r="H77" s="816"/>
      <c r="I77" s="756">
        <f ca="1">INDIRECT("BP"&amp;$A$5-1&amp;"!I77")</f>
        <v>0.1</v>
      </c>
      <c r="J77" s="757"/>
      <c r="K77" s="375"/>
      <c r="L77" s="54"/>
      <c r="M77" s="231"/>
      <c r="N77" s="241"/>
      <c r="O77" s="242"/>
      <c r="R77" s="117" t="s">
        <v>219</v>
      </c>
    </row>
    <row r="78" spans="1:19" s="2" customFormat="1" ht="14.25" customHeight="1" thickBot="1">
      <c r="A78" s="792" t="str">
        <f>IF(K3="MTDC","Modified Total Direct Costs (MTDC) Base =","Total Direct Costs (TDC) Base =")</f>
        <v>Modified Total Direct Costs (MTDC) Base =</v>
      </c>
      <c r="B78" s="793"/>
      <c r="C78" s="793"/>
      <c r="D78" s="793"/>
      <c r="E78" s="793"/>
      <c r="F78" s="793"/>
      <c r="G78" s="461">
        <f>IF(K3="MTDC",IF(A5&lt;=K5,K75-K50-K62-K63-K64-$K$65-$K$66-$K$67-$K$68-$K$69-$K$70-$K$71-$K$72-$K$73-K59-K61+IF(J62&lt;K62,J62,K62)+IF(J63&lt;K63,J63,K63)+IF(J64&lt;K64,J64,K64)+IF(J65&lt;$K$65,J65,$K$65)+IF(J66&lt;$K$66,J66,$K$66)+IF(J67&lt;$K$67,J67,$K$67)+IF(J68&lt;$K$68,J68,$K$68)+IF(J69&lt;$K$69,J69,$K$69)+IF(J70&lt;$K$70,J70,$K$70)+IF(J71&lt;$K$71,J71,$K$71)+IF(J72&lt;$K$72,J72,$K$72)+IF(J73&lt;$K$73,J73,$K$73),0),IF(A5&lt;=K5,K75,0))</f>
        <v>0</v>
      </c>
      <c r="H78" s="146"/>
      <c r="I78" s="146"/>
      <c r="J78" s="246"/>
      <c r="K78" s="375"/>
      <c r="L78" s="376"/>
      <c r="M78" s="231"/>
      <c r="N78" s="797" t="s">
        <v>289</v>
      </c>
      <c r="O78" s="797"/>
      <c r="R78" s="117" t="s">
        <v>219</v>
      </c>
    </row>
    <row r="79" spans="1:19" s="2" customFormat="1" ht="14.25" customHeight="1" thickBot="1">
      <c r="A79" s="794">
        <f ca="1">IF(K3="MTDC",IF(G79&gt;0,"Modified Total Direct Costs (MTDC) Cost-Share Base =",),IF(G79&gt;0,"Total Direct Costs (TDC) Cost-Share Base =",))</f>
        <v>0</v>
      </c>
      <c r="B79" s="795"/>
      <c r="C79" s="795"/>
      <c r="D79" s="795"/>
      <c r="E79" s="795"/>
      <c r="F79" s="795"/>
      <c r="G79" s="504">
        <f ca="1">IF(K3="MTDC",IF('BP1'!K5&gt;0,N75-N50-N59-N61-IF(N62="",0,N62)-IF(N63="",0,N63)-IF(N64="",0,N64)-IF(N65="",0,N65)-IF(N66="",0,N66)-IF(N67="",0,N67)-IF(N68="",0,N68)-IF(N69="",0,N69)-IF(N70="",0,N70)-IF(N71="",0,N71)-IF(N72="",0,N72)-IF(N73="",0,N73),0),IF('BP1'!K5&gt;0,N75,0))</f>
        <v>0</v>
      </c>
      <c r="H79" s="796" t="s">
        <v>217</v>
      </c>
      <c r="I79" s="796"/>
      <c r="J79" s="796"/>
      <c r="K79" s="752">
        <f ca="1">IF($L$2="No F&amp;A",0,(IF($L$2="Custom",I77,(AVERAGEIFS(INDIRECT(SUBSTITUTE(SUBSTITUTE(CONCATENATE($K$2,$L$2)," ",""),"-","")),StartDateList,"&gt;="&amp;(DATE(YEAR($K$8),MONTH($K$8),1)),StartDateList,"&lt;="&amp;$K$10))))*G78)</f>
        <v>0</v>
      </c>
      <c r="L79" s="753"/>
      <c r="M79" s="356"/>
      <c r="N79" s="767">
        <f ca="1">IF($L$2="No F&amp;A",0,(IF($L$2="Custom",$I$77,(AVERAGEIFS(INDIRECT(SUBSTITUTE(SUBSTITUTE(CONCATENATE($K$2,$L$2)," ",""),"-","")),StartDateList,"&gt;="&amp;(DATE(YEAR($K$8),MONTH($K$8),1)),StartDateList,"&lt;="&amp;$K$10))))*$G$79)</f>
        <v>0</v>
      </c>
      <c r="O79" s="772"/>
      <c r="R79" s="117" t="s">
        <v>219</v>
      </c>
    </row>
    <row r="80" spans="1:19" s="2" customFormat="1" ht="14.25" customHeight="1" thickBot="1">
      <c r="A80" s="188" t="s">
        <v>96</v>
      </c>
      <c r="B80" s="149"/>
      <c r="C80" s="149"/>
      <c r="D80" s="150"/>
      <c r="E80" s="150"/>
      <c r="F80" s="150"/>
      <c r="G80" s="150"/>
      <c r="H80" s="149"/>
      <c r="I80" s="151"/>
      <c r="J80" s="149"/>
      <c r="K80" s="752">
        <f>IF($A$5&lt;=$K$5,ROUND(K75,0)+ROUND(K79,0),0)</f>
        <v>0</v>
      </c>
      <c r="L80" s="753"/>
      <c r="M80" s="356"/>
      <c r="N80" s="767">
        <f ca="1">ROUND(N75,0)+ROUND(N79,0)</f>
        <v>0</v>
      </c>
      <c r="O80" s="772"/>
      <c r="R80" s="117" t="s">
        <v>219</v>
      </c>
    </row>
    <row r="81" spans="1:18" ht="14.25" customHeight="1" thickBot="1">
      <c r="M81" s="231"/>
      <c r="R81" s="117" t="s">
        <v>219</v>
      </c>
    </row>
    <row r="82" spans="1:18" ht="14.25" customHeight="1" thickBot="1">
      <c r="A82" s="188" t="s">
        <v>584</v>
      </c>
      <c r="B82" s="149"/>
      <c r="C82" s="149"/>
      <c r="D82" s="150"/>
      <c r="E82" s="150"/>
      <c r="F82" s="150"/>
      <c r="G82" s="150"/>
      <c r="H82" s="149"/>
      <c r="I82" s="151"/>
      <c r="J82" s="149"/>
      <c r="K82" s="841">
        <f>'BP1'!K75+'BP2'!K75+'BP3'!K75+'BP4'!K75+'BP5'!K75</f>
        <v>0</v>
      </c>
      <c r="L82" s="841"/>
      <c r="M82" s="231"/>
      <c r="N82" s="767">
        <f ca="1">'BP1'!N75+'BP2'!N75+'BP3'!N75+'BP4'!N75+'BP5'!N75</f>
        <v>0</v>
      </c>
      <c r="O82" s="772"/>
      <c r="R82" s="117" t="s">
        <v>219</v>
      </c>
    </row>
    <row r="83" spans="1:18" ht="14.25" customHeight="1" thickBot="1">
      <c r="A83" s="188" t="str">
        <f>IF(AND(SUM(K62:K73)&gt;0,'Subaward Calculator'!AD46=0),"","     Cumulative Total NU Direct Costs and Subaward Direct Costs")</f>
        <v xml:space="preserve">     Cumulative Total NU Direct Costs and Subaward Direct Costs</v>
      </c>
      <c r="B83" s="149"/>
      <c r="C83" s="149"/>
      <c r="D83" s="150"/>
      <c r="E83" s="150"/>
      <c r="F83" s="150"/>
      <c r="G83" s="150"/>
      <c r="H83" s="149"/>
      <c r="I83" s="151"/>
      <c r="J83" s="149"/>
      <c r="K83" s="841">
        <f>IF(AND(SUM(K62:K73)&gt;0,'Subaward Calculator'!AD46=0),"",'BP1'!K75+'BP2'!K75+'BP3'!K75+'BP4'!K75+'BP5'!K75-'Subaward Calculator'!AD46+'Subaward Calculator'!AD44)</f>
        <v>0</v>
      </c>
      <c r="L83" s="841"/>
      <c r="M83" s="231"/>
      <c r="N83" s="502"/>
      <c r="O83" s="502"/>
      <c r="R83" s="117" t="s">
        <v>219</v>
      </c>
    </row>
    <row r="84" spans="1:18" ht="14.25" customHeight="1" thickBot="1">
      <c r="A84" s="188" t="s">
        <v>464</v>
      </c>
      <c r="B84" s="149"/>
      <c r="C84" s="149"/>
      <c r="D84" s="150"/>
      <c r="E84" s="150"/>
      <c r="F84" s="150"/>
      <c r="G84" s="150"/>
      <c r="H84" s="149"/>
      <c r="I84" s="151"/>
      <c r="J84" s="149"/>
      <c r="K84" s="841">
        <f ca="1">'BP1'!K80+'BP2'!K80+'BP3'!K80+'BP4'!K80+'BP5'!K80</f>
        <v>0</v>
      </c>
      <c r="L84" s="841"/>
      <c r="M84" s="231"/>
      <c r="N84" s="767">
        <f ca="1">'BP1'!N80+'BP2'!N80+'BP3'!N80+'BP4'!N80+'BP5'!N80</f>
        <v>0</v>
      </c>
      <c r="O84" s="772"/>
      <c r="R84" s="117" t="s">
        <v>219</v>
      </c>
    </row>
    <row r="85" spans="1:18" ht="14.25" customHeight="1" thickBot="1">
      <c r="A85" s="359"/>
      <c r="B85" s="263"/>
      <c r="C85" s="263"/>
      <c r="D85" s="261"/>
      <c r="E85" s="261"/>
      <c r="F85" s="261"/>
      <c r="G85" s="261"/>
      <c r="H85" s="263"/>
      <c r="I85" s="264"/>
      <c r="J85" s="263"/>
      <c r="K85" s="326"/>
      <c r="L85" s="326"/>
      <c r="M85" s="231"/>
      <c r="N85" s="237"/>
      <c r="O85" s="237"/>
      <c r="R85" s="117" t="s">
        <v>219</v>
      </c>
    </row>
    <row r="86" spans="1:18" ht="14.25" customHeight="1" thickBot="1">
      <c r="K86" s="777"/>
      <c r="L86" s="777"/>
      <c r="N86" s="778">
        <f>$A$5</f>
        <v>2</v>
      </c>
      <c r="O86" s="779"/>
      <c r="P86" s="839" t="s">
        <v>423</v>
      </c>
      <c r="Q86" s="840"/>
      <c r="R86" s="117" t="s">
        <v>219</v>
      </c>
    </row>
    <row r="87" spans="1:18" ht="14.25" customHeight="1" thickBot="1">
      <c r="G87" s="786" t="str">
        <f ca="1">IF(('BP1'!$N$80+'BP2'!$N$80+'BP3'!$N$80+'BP4'!$N$80+'BP5'!$N$80)&gt;0,"NORTHWESTERN COST-SHARE","")</f>
        <v/>
      </c>
      <c r="H87" s="786"/>
      <c r="I87" s="786"/>
      <c r="J87" s="786"/>
      <c r="K87" s="786"/>
      <c r="L87" s="786"/>
      <c r="N87" s="752">
        <f ca="1">N80-SUM(N62:N73)</f>
        <v>0</v>
      </c>
      <c r="O87" s="753"/>
      <c r="P87" s="820">
        <f ca="1">'BP1'!$N$87+'BP2'!$N$87+'BP3'!$N$87+'BP4'!$N$87+'BP5'!$N$87</f>
        <v>0</v>
      </c>
      <c r="Q87" s="821">
        <f>'BP1'!Q78+'BP2'!Q78+'BP3'!Q78+'BP4'!Q78+'BP5'!Q78</f>
        <v>0</v>
      </c>
      <c r="R87" s="117" t="s">
        <v>219</v>
      </c>
    </row>
    <row r="88" spans="1:18" ht="14.25" customHeight="1" thickBot="1">
      <c r="F88" s="261"/>
      <c r="G88" s="786" t="str">
        <f ca="1">IF(('BP1'!$N$80+'BP2'!$N$80+'BP3'!$N$80+'BP4'!$N$80+'BP5'!$N$80)&gt;0,"SUBAWARD COST-SHARE","")</f>
        <v/>
      </c>
      <c r="H88" s="786"/>
      <c r="I88" s="786"/>
      <c r="J88" s="786"/>
      <c r="K88" s="786"/>
      <c r="L88" s="786"/>
      <c r="M88" s="1"/>
      <c r="N88" s="752">
        <f>SUM(N62:N73)</f>
        <v>0</v>
      </c>
      <c r="O88" s="753"/>
      <c r="P88" s="820">
        <f>'BP1'!$N$88+'BP2'!$N$88+'BP3'!$N$88+'BP4'!$N$88+'BP5'!$N$88</f>
        <v>0</v>
      </c>
      <c r="Q88" s="821">
        <f>'BP1'!Q79+'BP2'!Q79+'BP3'!Q79+'BP4'!Q79+'BP5'!Q79</f>
        <v>0</v>
      </c>
      <c r="R88" s="117" t="s">
        <v>219</v>
      </c>
    </row>
    <row r="89" spans="1:18" ht="14.25" customHeight="1" thickBot="1">
      <c r="F89" s="261"/>
      <c r="G89" s="786" t="str">
        <f ca="1">IF(('BP1'!$N$80+'BP2'!$N$80+'BP3'!$N$80+'BP4'!$N$80+'BP5'!$N$80)&gt;0,"THIRD PARTY COST-SHARE","")</f>
        <v/>
      </c>
      <c r="H89" s="786"/>
      <c r="I89" s="786"/>
      <c r="J89" s="786"/>
      <c r="K89" s="786"/>
      <c r="L89" s="786"/>
      <c r="M89" s="1"/>
      <c r="N89" s="787"/>
      <c r="O89" s="788"/>
      <c r="P89" s="820">
        <f>'BP1'!$N$89+'BP2'!$N$89+'BP3'!$N$89+'BP4'!$N$89+'BP5'!$N$89</f>
        <v>0</v>
      </c>
      <c r="Q89" s="821">
        <f>'BP1'!Q78+'BP2'!Q78+'BP3'!Q78+'BP4'!Q78+'BP5'!Q78</f>
        <v>0</v>
      </c>
      <c r="R89" s="117" t="s">
        <v>219</v>
      </c>
    </row>
    <row r="90" spans="1:18" ht="14.25" customHeight="1" thickBot="1">
      <c r="F90" s="259"/>
      <c r="G90" s="786" t="str">
        <f ca="1">IF(('BP1'!$N$80+'BP2'!$N$80+'BP3'!$N$80+'BP4'!$N$80+'BP5'!$N$80)&gt;0,"TOTAL COST-SHARED","")</f>
        <v/>
      </c>
      <c r="H90" s="786"/>
      <c r="I90" s="786"/>
      <c r="J90" s="786"/>
      <c r="K90" s="786"/>
      <c r="L90" s="786"/>
      <c r="M90" s="1"/>
      <c r="N90" s="752">
        <f ca="1">$N$80+$N$89</f>
        <v>0</v>
      </c>
      <c r="O90" s="753"/>
      <c r="P90" s="820">
        <f ca="1">'BP1'!$N$90+'BP2'!$N$90+'BP3'!$N$90+'BP4'!$N$90+'BP5'!$N$90</f>
        <v>0</v>
      </c>
      <c r="Q90" s="821">
        <f>'BP1'!Q79+'BP2'!Q79+'BP3'!Q79+'BP4'!Q79+'BP5'!Q79</f>
        <v>0</v>
      </c>
      <c r="R90" s="117" t="s">
        <v>219</v>
      </c>
    </row>
    <row r="91" spans="1:18" ht="14.25" customHeight="1" thickBot="1">
      <c r="F91" s="784" t="str">
        <f ca="1">IF(('BP1'!$N$80+'BP2'!$N$80+'BP3'!$N$80+'BP4'!$N$80+'BP5'!$N$80)&gt;0,"TOTAL SPONSOR COSTS","")</f>
        <v/>
      </c>
      <c r="G91" s="784"/>
      <c r="H91" s="784"/>
      <c r="I91" s="784"/>
      <c r="J91" s="784"/>
      <c r="K91" s="784"/>
      <c r="L91" s="784"/>
      <c r="M91" s="1"/>
      <c r="N91" s="752">
        <f ca="1">IF(('BP1'!$N$80+'BP2'!$N$80+'BP3'!$N$80+'BP4'!$N$80+'BP5'!$N$80)&gt;0,$K$80,)</f>
        <v>0</v>
      </c>
      <c r="O91" s="753"/>
      <c r="P91" s="820">
        <f ca="1">'BP1'!$N$91+'BP2'!$N$91+'BP3'!$N$91+'BP4'!$N$91+'BP5'!$N$91</f>
        <v>0</v>
      </c>
      <c r="Q91" s="821">
        <f>'BP1'!Q80+'BP2'!Q80+'BP3'!Q80+'BP4'!Q80+'BP5'!Q80</f>
        <v>0</v>
      </c>
      <c r="R91" s="117" t="s">
        <v>219</v>
      </c>
    </row>
    <row r="92" spans="1:18" ht="14.25" customHeight="1" thickBot="1">
      <c r="F92" s="575"/>
      <c r="G92" s="575"/>
      <c r="H92" s="575"/>
      <c r="I92" s="575"/>
      <c r="J92" s="575"/>
      <c r="K92" s="575"/>
      <c r="L92" s="575" t="str">
        <f ca="1">IF(('BP1'!$N$80+'BP2'!$N$80+'BP3'!$N$80+'BP4'!$N$80+'BP5'!$N$80)&gt;0,"NORTHWESTERN SPONSOR COSTS","")</f>
        <v/>
      </c>
      <c r="M92" s="1"/>
      <c r="N92" s="803">
        <f ca="1">IF(('BP1'!$N$80+'BP2'!$N$80+'BP3'!$N$80+'BP4'!$N$80+'BP5'!$N$80)&gt;0,$K$80-SUM(K62:L73),)</f>
        <v>0</v>
      </c>
      <c r="O92" s="804"/>
      <c r="P92" s="820">
        <f ca="1">'BP1'!$N$92+'BP2'!$N$92+'BP3'!$N$92+'BP4'!$N$92+'BP5'!$N$92</f>
        <v>0</v>
      </c>
      <c r="Q92" s="821">
        <f>'BP1'!Q81+'BP2'!Q81+'BP3'!Q81+'BP4'!Q81+'BP5'!Q81</f>
        <v>0</v>
      </c>
      <c r="R92" s="117" t="s">
        <v>219</v>
      </c>
    </row>
    <row r="93" spans="1:18" ht="14.25" customHeight="1" thickBot="1">
      <c r="F93" s="259"/>
      <c r="G93" s="784" t="str">
        <f ca="1">IF(('BP1'!$N$80+'BP2'!$N$80+'BP3'!$N$80+'BP4'!$N$80+'BP5'!$N$80)&gt;0,"PROJECT COSTS","")</f>
        <v/>
      </c>
      <c r="H93" s="784"/>
      <c r="I93" s="784"/>
      <c r="J93" s="784"/>
      <c r="K93" s="784"/>
      <c r="L93" s="784"/>
      <c r="M93" s="1"/>
      <c r="N93" s="752">
        <f ca="1">IF(('BP1'!$N$80+'BP2'!$N$80+'BP3'!$N$80+'BP4'!$N$80+'BP5'!$N$80)&gt;0,$N$91+$N$90,)</f>
        <v>0</v>
      </c>
      <c r="O93" s="753"/>
      <c r="P93" s="820">
        <f ca="1">'BP1'!$N$93+'BP2'!$N$93+'BP3'!$N$93+'BP4'!$N$93+'BP5'!$N$93</f>
        <v>0</v>
      </c>
      <c r="Q93" s="821">
        <f>'BP1'!Q81+'BP2'!Q81+'BP3'!Q81+'BP4'!Q81+'BP5'!Q81</f>
        <v>0</v>
      </c>
      <c r="R93" s="117" t="s">
        <v>219</v>
      </c>
    </row>
    <row r="94" spans="1:18" ht="14.25" customHeight="1" thickBot="1">
      <c r="F94" s="260"/>
      <c r="G94" s="785" t="str">
        <f ca="1">IF(('BP1'!$N$80+'BP2'!$N$80+'BP3'!$N$80+'BP4'!$N$80+'BP5'!$N$80)&gt;0,"COST-SHARE AS % OF SPONSOR COSTS","")</f>
        <v/>
      </c>
      <c r="H94" s="785"/>
      <c r="I94" s="785"/>
      <c r="J94" s="785"/>
      <c r="K94" s="785"/>
      <c r="L94" s="785"/>
      <c r="M94" s="1"/>
      <c r="N94" s="775">
        <f ca="1">IFERROR($N$90/$N$91,)</f>
        <v>0</v>
      </c>
      <c r="O94" s="776"/>
      <c r="P94" s="842">
        <f ca="1">IFERROR($P$90/$P$91,)</f>
        <v>0</v>
      </c>
      <c r="Q94" s="843"/>
      <c r="R94" s="117" t="s">
        <v>219</v>
      </c>
    </row>
    <row r="95" spans="1:18" ht="14.25" customHeight="1" thickBot="1">
      <c r="F95" s="784" t="str">
        <f ca="1">IF(('BP1'!$N$80+'BP2'!$N$80+'BP3'!$N$80+'BP4'!$N$80+'BP5'!$N$80)&gt;0,"COST-SHARE AS % OF PROJECT COSTS","")</f>
        <v/>
      </c>
      <c r="G95" s="784"/>
      <c r="H95" s="784"/>
      <c r="I95" s="784"/>
      <c r="J95" s="784"/>
      <c r="K95" s="784"/>
      <c r="L95" s="784"/>
      <c r="M95" s="1"/>
      <c r="N95" s="775">
        <f ca="1">IFERROR($N$90/$N$93,)</f>
        <v>0</v>
      </c>
      <c r="O95" s="776"/>
      <c r="P95" s="842">
        <f ca="1">IFERROR($P$90/$P$93,)</f>
        <v>0</v>
      </c>
      <c r="Q95" s="843"/>
      <c r="R95" s="117" t="s">
        <v>219</v>
      </c>
    </row>
    <row r="96" spans="1:18" ht="12.75"/>
  </sheetData>
  <sheetProtection formatCells="0" formatColumns="0" formatRows="0"/>
  <autoFilter ref="R1:R95" xr:uid="{00000000-0009-0000-0000-000003000000}">
    <filterColumn colId="0">
      <filters>
        <filter val="A) Condensed"/>
      </filters>
    </filterColumn>
  </autoFilter>
  <mergeCells count="201">
    <mergeCell ref="B22:F22"/>
    <mergeCell ref="B28:F28"/>
    <mergeCell ref="A5:J6"/>
    <mergeCell ref="A30:F30"/>
    <mergeCell ref="B29:F29"/>
    <mergeCell ref="K42:L42"/>
    <mergeCell ref="B27:F27"/>
    <mergeCell ref="B45:F45"/>
    <mergeCell ref="B46:F46"/>
    <mergeCell ref="H8:J9"/>
    <mergeCell ref="H10:J11"/>
    <mergeCell ref="K10:L11"/>
    <mergeCell ref="E11:G11"/>
    <mergeCell ref="N41:O41"/>
    <mergeCell ref="N48:O48"/>
    <mergeCell ref="N49:O49"/>
    <mergeCell ref="N50:O50"/>
    <mergeCell ref="N51:O51"/>
    <mergeCell ref="B48:F48"/>
    <mergeCell ref="C56:J56"/>
    <mergeCell ref="K56:L56"/>
    <mergeCell ref="K59:L59"/>
    <mergeCell ref="K58:L58"/>
    <mergeCell ref="N53:O53"/>
    <mergeCell ref="N55:O55"/>
    <mergeCell ref="K57:L57"/>
    <mergeCell ref="H51:J51"/>
    <mergeCell ref="H52:J52"/>
    <mergeCell ref="K41:L41"/>
    <mergeCell ref="K45:L45"/>
    <mergeCell ref="K48:L48"/>
    <mergeCell ref="K46:L46"/>
    <mergeCell ref="K47:L47"/>
    <mergeCell ref="K52:L52"/>
    <mergeCell ref="K49:L49"/>
    <mergeCell ref="K55:L55"/>
    <mergeCell ref="K50:L50"/>
    <mergeCell ref="M1:O9"/>
    <mergeCell ref="G12:G14"/>
    <mergeCell ref="N12:O13"/>
    <mergeCell ref="B19:F19"/>
    <mergeCell ref="B24:F24"/>
    <mergeCell ref="M10:O11"/>
    <mergeCell ref="B20:F20"/>
    <mergeCell ref="N42:O42"/>
    <mergeCell ref="H12:J12"/>
    <mergeCell ref="H13:J13"/>
    <mergeCell ref="K5:L5"/>
    <mergeCell ref="K6:L6"/>
    <mergeCell ref="A11:D11"/>
    <mergeCell ref="K7:L7"/>
    <mergeCell ref="A1:J4"/>
    <mergeCell ref="K1:L1"/>
    <mergeCell ref="B16:F16"/>
    <mergeCell ref="B26:F26"/>
    <mergeCell ref="E9:G9"/>
    <mergeCell ref="B15:F15"/>
    <mergeCell ref="B18:F18"/>
    <mergeCell ref="B17:F17"/>
    <mergeCell ref="B21:F21"/>
    <mergeCell ref="B23:F23"/>
    <mergeCell ref="P95:Q95"/>
    <mergeCell ref="N89:O89"/>
    <mergeCell ref="F91:L91"/>
    <mergeCell ref="F95:L95"/>
    <mergeCell ref="N90:O90"/>
    <mergeCell ref="N91:O91"/>
    <mergeCell ref="N93:O93"/>
    <mergeCell ref="N94:O94"/>
    <mergeCell ref="N95:O95"/>
    <mergeCell ref="P93:Q93"/>
    <mergeCell ref="P94:Q94"/>
    <mergeCell ref="G93:L93"/>
    <mergeCell ref="G94:L94"/>
    <mergeCell ref="G89:L89"/>
    <mergeCell ref="G90:L90"/>
    <mergeCell ref="N92:O92"/>
    <mergeCell ref="P92:Q92"/>
    <mergeCell ref="N86:O86"/>
    <mergeCell ref="P86:Q86"/>
    <mergeCell ref="P89:Q89"/>
    <mergeCell ref="P90:Q90"/>
    <mergeCell ref="P91:Q91"/>
    <mergeCell ref="A78:F78"/>
    <mergeCell ref="A79:F79"/>
    <mergeCell ref="H79:J79"/>
    <mergeCell ref="N84:O84"/>
    <mergeCell ref="N82:O82"/>
    <mergeCell ref="K84:L84"/>
    <mergeCell ref="K82:L82"/>
    <mergeCell ref="K86:L86"/>
    <mergeCell ref="K83:L83"/>
    <mergeCell ref="K80:L80"/>
    <mergeCell ref="K79:L79"/>
    <mergeCell ref="N87:O87"/>
    <mergeCell ref="G87:L87"/>
    <mergeCell ref="P87:Q87"/>
    <mergeCell ref="N71:O71"/>
    <mergeCell ref="N72:O72"/>
    <mergeCell ref="N73:O73"/>
    <mergeCell ref="N52:O52"/>
    <mergeCell ref="N43:O43"/>
    <mergeCell ref="N45:O45"/>
    <mergeCell ref="N46:O46"/>
    <mergeCell ref="N47:O47"/>
    <mergeCell ref="N56:O56"/>
    <mergeCell ref="N57:O57"/>
    <mergeCell ref="N58:O58"/>
    <mergeCell ref="N64:O64"/>
    <mergeCell ref="N65:O65"/>
    <mergeCell ref="N59:O59"/>
    <mergeCell ref="N60:O60"/>
    <mergeCell ref="N61:O61"/>
    <mergeCell ref="K53:L53"/>
    <mergeCell ref="C55:J55"/>
    <mergeCell ref="K4:L4"/>
    <mergeCell ref="K3:L3"/>
    <mergeCell ref="K12:L13"/>
    <mergeCell ref="K8:L9"/>
    <mergeCell ref="B25:F25"/>
    <mergeCell ref="A9:D9"/>
    <mergeCell ref="K76:L76"/>
    <mergeCell ref="K74:L74"/>
    <mergeCell ref="K75:L75"/>
    <mergeCell ref="E71:F71"/>
    <mergeCell ref="G71:I71"/>
    <mergeCell ref="C57:J57"/>
    <mergeCell ref="K62:L62"/>
    <mergeCell ref="G72:I72"/>
    <mergeCell ref="G62:I62"/>
    <mergeCell ref="E62:F62"/>
    <mergeCell ref="C62:D62"/>
    <mergeCell ref="B47:F47"/>
    <mergeCell ref="C61:J61"/>
    <mergeCell ref="B49:F49"/>
    <mergeCell ref="K43:L43"/>
    <mergeCell ref="K51:L51"/>
    <mergeCell ref="K63:L63"/>
    <mergeCell ref="K64:L64"/>
    <mergeCell ref="C63:D63"/>
    <mergeCell ref="E65:F65"/>
    <mergeCell ref="K61:L61"/>
    <mergeCell ref="E63:F63"/>
    <mergeCell ref="G65:I65"/>
    <mergeCell ref="E66:F66"/>
    <mergeCell ref="G66:I66"/>
    <mergeCell ref="H53:J53"/>
    <mergeCell ref="C70:D70"/>
    <mergeCell ref="C71:D71"/>
    <mergeCell ref="C72:D72"/>
    <mergeCell ref="C67:D67"/>
    <mergeCell ref="C68:D68"/>
    <mergeCell ref="C69:D69"/>
    <mergeCell ref="G67:I67"/>
    <mergeCell ref="E68:F68"/>
    <mergeCell ref="G68:I68"/>
    <mergeCell ref="E69:F69"/>
    <mergeCell ref="G69:I69"/>
    <mergeCell ref="C58:J58"/>
    <mergeCell ref="C59:J59"/>
    <mergeCell ref="C60:J60"/>
    <mergeCell ref="C64:D64"/>
    <mergeCell ref="C65:D65"/>
    <mergeCell ref="C66:D66"/>
    <mergeCell ref="C73:D73"/>
    <mergeCell ref="E72:F72"/>
    <mergeCell ref="E73:F73"/>
    <mergeCell ref="E70:F70"/>
    <mergeCell ref="G70:I70"/>
    <mergeCell ref="E64:F64"/>
    <mergeCell ref="G64:I64"/>
    <mergeCell ref="K70:L70"/>
    <mergeCell ref="K71:L71"/>
    <mergeCell ref="K73:L73"/>
    <mergeCell ref="G73:I73"/>
    <mergeCell ref="E67:F67"/>
    <mergeCell ref="K65:L65"/>
    <mergeCell ref="G77:H77"/>
    <mergeCell ref="K60:L60"/>
    <mergeCell ref="G63:I63"/>
    <mergeCell ref="G88:L88"/>
    <mergeCell ref="N88:O88"/>
    <mergeCell ref="P88:Q88"/>
    <mergeCell ref="I77:J77"/>
    <mergeCell ref="N75:O75"/>
    <mergeCell ref="N78:O78"/>
    <mergeCell ref="N79:O79"/>
    <mergeCell ref="N80:O80"/>
    <mergeCell ref="K68:L68"/>
    <mergeCell ref="K69:L69"/>
    <mergeCell ref="N66:O66"/>
    <mergeCell ref="N67:O67"/>
    <mergeCell ref="N68:O68"/>
    <mergeCell ref="N69:O69"/>
    <mergeCell ref="N70:O70"/>
    <mergeCell ref="K72:L72"/>
    <mergeCell ref="K66:L66"/>
    <mergeCell ref="K67:L67"/>
    <mergeCell ref="N74:O74"/>
    <mergeCell ref="N62:O62"/>
    <mergeCell ref="N63:O63"/>
  </mergeCells>
  <phoneticPr fontId="10" type="noConversion"/>
  <conditionalFormatting sqref="Q15:Q29">
    <cfRule type="cellIs" dxfId="24" priority="7" operator="greaterThan">
      <formula>0</formula>
    </cfRule>
  </conditionalFormatting>
  <conditionalFormatting sqref="I77:J77">
    <cfRule type="expression" dxfId="23" priority="5">
      <formula>$L$2&lt;&gt;"Custom"</formula>
    </cfRule>
    <cfRule type="expression" dxfId="22" priority="6">
      <formula>$L$2="Custom"</formula>
    </cfRule>
  </conditionalFormatting>
  <conditionalFormatting sqref="P88:Q95">
    <cfRule type="expression" dxfId="21" priority="3">
      <formula>$N$80&gt;0</formula>
    </cfRule>
  </conditionalFormatting>
  <conditionalFormatting sqref="P86:Q86">
    <cfRule type="expression" dxfId="20" priority="2">
      <formula>$N$80&gt;1</formula>
    </cfRule>
  </conditionalFormatting>
  <conditionalFormatting sqref="P87:Q87">
    <cfRule type="expression" dxfId="19" priority="1">
      <formula>$N$80&gt;0</formula>
    </cfRule>
  </conditionalFormatting>
  <dataValidations count="3">
    <dataValidation errorStyle="warning" allowBlank="1" showInputMessage="1" sqref="K7" xr:uid="{00000000-0002-0000-0300-000000000000}"/>
    <dataValidation allowBlank="1" showErrorMessage="1" sqref="K2:K3 L2" xr:uid="{00000000-0002-0000-0300-000001000000}"/>
    <dataValidation type="whole" allowBlank="1" showInputMessage="1" showErrorMessage="1" sqref="A5:J6" xr:uid="{00000000-0002-0000-0300-000002000000}">
      <formula1>1</formula1>
      <formula2>20</formula2>
    </dataValidation>
  </dataValidations>
  <printOptions horizontalCentered="1" verticalCentered="1"/>
  <pageMargins left="0.5" right="0.5" top="0.5" bottom="1" header="0.5" footer="0.5"/>
  <pageSetup scale="91" orientation="portrait" horizontalDpi="300" verticalDpi="300" r:id="rId1"/>
  <headerFooter alignWithMargins="0"/>
  <ignoredErrors>
    <ignoredError sqref="E9 E11 A15:O16 A53:O61 A51:F52 H51:J52 A41:O50 A34:A37 C34:F37 A32:F33 A38:F40 H32:O40 L51:M51 L52:M52 K51 K52 N52:O52 N51:O51 A85:O86 H78:O78 H79:O79 H89:O89 A93:O93 A89:F90 H90:M90 A95:E95 A94:G94 H94:O94 G95:O95 A11 A77:H77 J77:O77 A81:O81 B82:M82 A74:O74 J62:J73 L62:M62 M63:M73 G62:I73 B80:O80 B75:J75 L75:O75 D62:F62 D63:F63 D64:F64 D65:F65 D66:F66 D67:F67 D68:F68 D69:F69 D70:F70 D71:F71 A62:B73 D72:F72 D73:F73 B84:M84 O82 O84 O72 O71 O70 O69 O68 O67 O66 O65 O64 O63 O73 O62 N72 N62 N73 N63 N64 N65 N66 N67 N68 N69 N70 N71 A18:O31 A17:F17 H17:O17 A91:E91 G91:M91 O91" unlockedFormula="1"/>
    <ignoredError sqref="G51:G52" numberStoredAsText="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filterMode="1">
    <tabColor theme="4" tint="0.59999389629810485"/>
    <pageSetUpPr fitToPage="1"/>
  </sheetPr>
  <dimension ref="A1:R96"/>
  <sheetViews>
    <sheetView showGridLines="0" showZeros="0" zoomScaleNormal="100" workbookViewId="0">
      <selection activeCell="R1" sqref="R1"/>
    </sheetView>
  </sheetViews>
  <sheetFormatPr defaultColWidth="10.7109375" defaultRowHeight="12" customHeight="1" outlineLevelCol="1"/>
  <cols>
    <col min="1" max="1" width="2.42578125" style="6" customWidth="1"/>
    <col min="2" max="2" width="3.85546875" customWidth="1"/>
    <col min="3" max="3" width="1.5703125" customWidth="1"/>
    <col min="4" max="4" width="27.140625" style="3" customWidth="1"/>
    <col min="5" max="5" width="6.5703125" style="3" customWidth="1"/>
    <col min="6" max="6" width="9" style="3" customWidth="1"/>
    <col min="7" max="7" width="11.28515625" customWidth="1"/>
    <col min="8" max="9" width="6.85546875" customWidth="1"/>
    <col min="10" max="10" width="6.85546875" style="118" customWidth="1"/>
    <col min="11" max="11" width="12.140625" customWidth="1"/>
    <col min="12" max="12" width="12.140625" style="81" customWidth="1"/>
    <col min="13" max="13" width="5.85546875" style="81" bestFit="1" customWidth="1" outlineLevel="1"/>
    <col min="14" max="14" width="12.140625" customWidth="1" outlineLevel="1"/>
    <col min="15" max="15" width="12.140625" style="81" customWidth="1" outlineLevel="1"/>
    <col min="16" max="17" width="14.42578125" style="1" customWidth="1"/>
    <col min="18" max="18" width="35.7109375" style="1" customWidth="1"/>
    <col min="19" max="23" width="10.7109375" style="1" customWidth="1"/>
    <col min="24" max="16384" width="10.7109375" style="1"/>
  </cols>
  <sheetData>
    <row r="1" spans="1:18" ht="14.25" customHeight="1" thickBot="1">
      <c r="A1" s="854" t="str">
        <f>'BP1'!A1:L1</f>
        <v>Title</v>
      </c>
      <c r="B1" s="855"/>
      <c r="C1" s="855"/>
      <c r="D1" s="855"/>
      <c r="E1" s="855"/>
      <c r="F1" s="855"/>
      <c r="G1" s="855"/>
      <c r="H1" s="855"/>
      <c r="I1" s="855"/>
      <c r="J1" s="856"/>
      <c r="K1" s="722" t="s">
        <v>225</v>
      </c>
      <c r="L1" s="723"/>
      <c r="M1" s="844"/>
      <c r="N1" s="844"/>
      <c r="O1" s="844"/>
      <c r="R1" s="119" t="s">
        <v>188</v>
      </c>
    </row>
    <row r="2" spans="1:18" ht="14.25" customHeight="1">
      <c r="A2" s="857"/>
      <c r="B2" s="858"/>
      <c r="C2" s="858"/>
      <c r="D2" s="858"/>
      <c r="E2" s="858"/>
      <c r="F2" s="858"/>
      <c r="G2" s="858"/>
      <c r="H2" s="858"/>
      <c r="I2" s="858"/>
      <c r="J2" s="858"/>
      <c r="K2" s="462" t="str">
        <f>'BP1'!K2</f>
        <v>Federal</v>
      </c>
      <c r="L2" s="463" t="str">
        <f>'BP1'!L2</f>
        <v>On Campus</v>
      </c>
      <c r="M2" s="844"/>
      <c r="N2" s="844"/>
      <c r="O2" s="844"/>
      <c r="R2" s="117" t="s">
        <v>219</v>
      </c>
    </row>
    <row r="3" spans="1:18" ht="14.25" customHeight="1">
      <c r="A3" s="857"/>
      <c r="B3" s="858"/>
      <c r="C3" s="858"/>
      <c r="D3" s="858"/>
      <c r="E3" s="858"/>
      <c r="F3" s="858"/>
      <c r="G3" s="858"/>
      <c r="H3" s="858"/>
      <c r="I3" s="858"/>
      <c r="J3" s="858"/>
      <c r="K3" s="825" t="str">
        <f>'BP1'!K3</f>
        <v>MTDC</v>
      </c>
      <c r="L3" s="826"/>
      <c r="M3" s="844"/>
      <c r="N3" s="844"/>
      <c r="O3" s="844"/>
      <c r="R3" s="117" t="s">
        <v>219</v>
      </c>
    </row>
    <row r="4" spans="1:18" ht="14.25" customHeight="1">
      <c r="A4" s="857"/>
      <c r="B4" s="858"/>
      <c r="C4" s="858"/>
      <c r="D4" s="858"/>
      <c r="E4" s="858"/>
      <c r="F4" s="858"/>
      <c r="G4" s="858"/>
      <c r="H4" s="858"/>
      <c r="I4" s="858"/>
      <c r="J4" s="859"/>
      <c r="K4" s="724" t="s">
        <v>445</v>
      </c>
      <c r="L4" s="725"/>
      <c r="M4" s="844"/>
      <c r="N4" s="844"/>
      <c r="O4" s="844"/>
      <c r="R4" s="117" t="s">
        <v>219</v>
      </c>
    </row>
    <row r="5" spans="1:18" ht="14.25" customHeight="1">
      <c r="A5" s="713">
        <f>'BP2'!A5+1</f>
        <v>3</v>
      </c>
      <c r="B5" s="714"/>
      <c r="C5" s="714"/>
      <c r="D5" s="714"/>
      <c r="E5" s="714"/>
      <c r="F5" s="714"/>
      <c r="G5" s="714"/>
      <c r="H5" s="714"/>
      <c r="I5" s="714"/>
      <c r="J5" s="715"/>
      <c r="K5" s="850">
        <f>'BP1'!K5</f>
        <v>1</v>
      </c>
      <c r="L5" s="851"/>
      <c r="M5" s="844"/>
      <c r="N5" s="844"/>
      <c r="O5" s="844"/>
      <c r="R5" s="117" t="s">
        <v>219</v>
      </c>
    </row>
    <row r="6" spans="1:18" ht="13.5" customHeight="1">
      <c r="A6" s="713"/>
      <c r="B6" s="714"/>
      <c r="C6" s="714"/>
      <c r="D6" s="714"/>
      <c r="E6" s="714"/>
      <c r="F6" s="714"/>
      <c r="G6" s="714"/>
      <c r="H6" s="714"/>
      <c r="I6" s="714"/>
      <c r="J6" s="715"/>
      <c r="K6" s="728" t="s">
        <v>98</v>
      </c>
      <c r="L6" s="729"/>
      <c r="M6" s="845"/>
      <c r="N6" s="844"/>
      <c r="O6" s="844"/>
      <c r="R6" s="117" t="s">
        <v>219</v>
      </c>
    </row>
    <row r="7" spans="1:18" ht="13.5" customHeight="1">
      <c r="A7" s="214"/>
      <c r="B7" s="215"/>
      <c r="C7" s="215"/>
      <c r="D7" s="216"/>
      <c r="E7" s="216"/>
      <c r="F7" s="216"/>
      <c r="G7" s="217"/>
      <c r="H7" s="215"/>
      <c r="I7" s="215"/>
      <c r="J7" s="218"/>
      <c r="K7" s="852">
        <f>'BP1'!$K$7</f>
        <v>0.03</v>
      </c>
      <c r="L7" s="853"/>
      <c r="M7" s="845"/>
      <c r="N7" s="844"/>
      <c r="O7" s="844"/>
      <c r="R7" s="117" t="s">
        <v>219</v>
      </c>
    </row>
    <row r="8" spans="1:18" ht="14.25" customHeight="1">
      <c r="A8" s="179" t="s">
        <v>200</v>
      </c>
      <c r="B8" s="180"/>
      <c r="C8" s="180"/>
      <c r="D8" s="181"/>
      <c r="E8" s="182" t="str">
        <f>'BP1'!E8</f>
        <v>Originating Sponsor</v>
      </c>
      <c r="F8" s="156"/>
      <c r="G8" s="156"/>
      <c r="H8" s="738" t="s">
        <v>514</v>
      </c>
      <c r="I8" s="738"/>
      <c r="J8" s="739"/>
      <c r="K8" s="734">
        <f>EDATE('BP2'!K10,0)+1</f>
        <v>44074</v>
      </c>
      <c r="L8" s="827"/>
      <c r="M8" s="845"/>
      <c r="N8" s="844"/>
      <c r="O8" s="844"/>
      <c r="R8" s="117" t="s">
        <v>219</v>
      </c>
    </row>
    <row r="9" spans="1:18" s="2" customFormat="1" ht="14.25" customHeight="1">
      <c r="A9" s="709" t="s">
        <v>1</v>
      </c>
      <c r="B9" s="710"/>
      <c r="C9" s="710"/>
      <c r="D9" s="710"/>
      <c r="E9" s="860">
        <f>'BP1'!E9</f>
        <v>0</v>
      </c>
      <c r="F9" s="860"/>
      <c r="G9" s="860"/>
      <c r="H9" s="740"/>
      <c r="I9" s="740"/>
      <c r="J9" s="741"/>
      <c r="K9" s="828"/>
      <c r="L9" s="829"/>
      <c r="M9" s="846"/>
      <c r="N9" s="847"/>
      <c r="O9" s="847"/>
      <c r="R9" s="117" t="s">
        <v>219</v>
      </c>
    </row>
    <row r="10" spans="1:18" s="2" customFormat="1" ht="14.25" customHeight="1">
      <c r="A10" s="183" t="s">
        <v>205</v>
      </c>
      <c r="B10" s="144"/>
      <c r="C10" s="144"/>
      <c r="D10" s="145"/>
      <c r="E10" s="182" t="str">
        <f>'BP1'!E10</f>
        <v>Flow-through Sponsor</v>
      </c>
      <c r="F10" s="156"/>
      <c r="G10" s="156"/>
      <c r="H10" s="738" t="s">
        <v>515</v>
      </c>
      <c r="I10" s="738"/>
      <c r="J10" s="739"/>
      <c r="K10" s="734">
        <f>EDATE(K8,12)-1</f>
        <v>44438</v>
      </c>
      <c r="L10" s="827"/>
      <c r="M10" s="747" t="s">
        <v>562</v>
      </c>
      <c r="N10" s="748"/>
      <c r="O10" s="848"/>
      <c r="R10" s="117" t="s">
        <v>219</v>
      </c>
    </row>
    <row r="11" spans="1:18" s="2" customFormat="1" ht="14.25" customHeight="1">
      <c r="A11" s="711" t="str">
        <f>'BP1'!A11:D11</f>
        <v>Professor McCormick</v>
      </c>
      <c r="B11" s="712"/>
      <c r="C11" s="712"/>
      <c r="D11" s="712"/>
      <c r="E11" s="860">
        <f>'BP1'!E11</f>
        <v>0</v>
      </c>
      <c r="F11" s="860"/>
      <c r="G11" s="860"/>
      <c r="H11" s="740"/>
      <c r="I11" s="740"/>
      <c r="J11" s="741"/>
      <c r="K11" s="828"/>
      <c r="L11" s="829"/>
      <c r="M11" s="749"/>
      <c r="N11" s="750"/>
      <c r="O11" s="849"/>
      <c r="R11" s="117" t="s">
        <v>219</v>
      </c>
    </row>
    <row r="12" spans="1:18" s="2" customFormat="1" ht="14.25" customHeight="1">
      <c r="A12" s="183" t="s">
        <v>202</v>
      </c>
      <c r="B12" s="144"/>
      <c r="C12" s="144"/>
      <c r="D12" s="157"/>
      <c r="E12" s="157"/>
      <c r="F12" s="331"/>
      <c r="G12" s="689" t="s">
        <v>902</v>
      </c>
      <c r="H12" s="692" t="s">
        <v>516</v>
      </c>
      <c r="I12" s="693"/>
      <c r="J12" s="694"/>
      <c r="K12" s="700" t="s">
        <v>35</v>
      </c>
      <c r="L12" s="701"/>
      <c r="M12" s="378" t="s">
        <v>286</v>
      </c>
      <c r="N12" s="700" t="s">
        <v>35</v>
      </c>
      <c r="O12" s="701"/>
      <c r="R12" s="117" t="s">
        <v>219</v>
      </c>
    </row>
    <row r="13" spans="1:18" s="2" customFormat="1" ht="14.25" customHeight="1">
      <c r="A13" s="143"/>
      <c r="B13" s="144"/>
      <c r="C13" s="144"/>
      <c r="D13" s="157"/>
      <c r="E13" s="157"/>
      <c r="F13" s="332"/>
      <c r="G13" s="690"/>
      <c r="H13" s="789" t="s">
        <v>285</v>
      </c>
      <c r="I13" s="790"/>
      <c r="J13" s="791"/>
      <c r="K13" s="702"/>
      <c r="L13" s="703"/>
      <c r="M13" s="377" t="s">
        <v>287</v>
      </c>
      <c r="N13" s="702"/>
      <c r="O13" s="703"/>
      <c r="R13" s="117" t="s">
        <v>219</v>
      </c>
    </row>
    <row r="14" spans="1:18" s="2" customFormat="1" ht="14.25" customHeight="1">
      <c r="A14" s="143"/>
      <c r="B14" s="155"/>
      <c r="C14" s="155"/>
      <c r="D14" s="153"/>
      <c r="E14" s="153"/>
      <c r="F14" s="379"/>
      <c r="G14" s="691"/>
      <c r="H14" s="173" t="s">
        <v>2</v>
      </c>
      <c r="I14" s="174" t="s">
        <v>198</v>
      </c>
      <c r="J14" s="174" t="s">
        <v>199</v>
      </c>
      <c r="K14" s="170" t="s">
        <v>33</v>
      </c>
      <c r="L14" s="171" t="s">
        <v>34</v>
      </c>
      <c r="M14" s="236" t="s">
        <v>288</v>
      </c>
      <c r="N14" s="170" t="s">
        <v>33</v>
      </c>
      <c r="O14" s="171" t="s">
        <v>34</v>
      </c>
      <c r="P14" s="195" t="s">
        <v>109</v>
      </c>
      <c r="Q14" s="195" t="s">
        <v>862</v>
      </c>
      <c r="R14" s="117" t="s">
        <v>219</v>
      </c>
    </row>
    <row r="15" spans="1:18" s="2" customFormat="1" ht="14.25" customHeight="1">
      <c r="A15" s="184">
        <v>1</v>
      </c>
      <c r="B15" s="830">
        <f>IF($A$5&lt;=$K$5,'BP1'!B15,)</f>
        <v>0</v>
      </c>
      <c r="C15" s="831"/>
      <c r="D15" s="831"/>
      <c r="E15" s="831"/>
      <c r="F15" s="832"/>
      <c r="G15" s="229">
        <f>IF($A$5&lt;=$K$5,'BP1'!G15,)</f>
        <v>0</v>
      </c>
      <c r="H15" s="219">
        <f>IF($G15&gt;0,'BP2'!H15,)</f>
        <v>0</v>
      </c>
      <c r="I15" s="220">
        <f>IF($G15&gt;0,'BP2'!I15,)</f>
        <v>0</v>
      </c>
      <c r="J15" s="220">
        <f>IF($G15&gt;0,'BP2'!J15,)</f>
        <v>0</v>
      </c>
      <c r="K15" s="140">
        <f ca="1">IFERROR(IF(Q15&gt;0,Q15/G15*(SUM(H15:J15)),P15/G15*(SUM(H15:J15))),)</f>
        <v>0</v>
      </c>
      <c r="L15" s="141">
        <f ca="1">IF(K15&gt;2,K15*LOOKUP($K$8,Lists!$A$2:$A$812,IF($K$2="Non-Federal",Lists!$D$2:$D$812,Lists!$C$2:$C$812)),0)</f>
        <v>0</v>
      </c>
      <c r="M15" s="234">
        <f>IF(G15&gt;0,'BP2'!M15,)</f>
        <v>0</v>
      </c>
      <c r="N15" s="140">
        <f ca="1">IFERROR(IF(Q15&gt;0,Q15/G15*M15,P15/G15*M15),)</f>
        <v>0</v>
      </c>
      <c r="O15" s="141">
        <f ca="1">N15*LOOKUP($K$8,Lists!$A$2:$A$812,IF($K$2="Non-Federal",Lists!$D$2:$D$812,Lists!$C$2:$C$812))</f>
        <v>0</v>
      </c>
      <c r="P15" s="205">
        <f ca="1">IF($A$5&lt;='BP1'!$K$5,(1+$K$7)*INDIRECT("BP"&amp;$A$5-1&amp;"!P15"),)</f>
        <v>0</v>
      </c>
      <c r="Q15" s="205">
        <f t="shared" ref="Q15:Q29" si="0">IF(COUNTIF(NIH,$E$9)&gt;0,(IF(G15&gt;0,IF((P15/G15)*12&gt;NIHSalCap,(NIHSalCap/12)*G15,),)),)</f>
        <v>0</v>
      </c>
      <c r="R15" s="117" t="s">
        <v>219</v>
      </c>
    </row>
    <row r="16" spans="1:18" s="2" customFormat="1" ht="14.25" customHeight="1">
      <c r="A16" s="184">
        <v>2</v>
      </c>
      <c r="B16" s="830">
        <f>IF($A$5&lt;=$K$5,'BP1'!B16,)</f>
        <v>0</v>
      </c>
      <c r="C16" s="831"/>
      <c r="D16" s="831"/>
      <c r="E16" s="831"/>
      <c r="F16" s="832"/>
      <c r="G16" s="229">
        <f>IF($A$5&lt;=$K$5,'BP1'!G16,)</f>
        <v>0</v>
      </c>
      <c r="H16" s="219">
        <f>IF($G16&gt;0,'BP2'!H16,)</f>
        <v>0</v>
      </c>
      <c r="I16" s="220">
        <f>IF($G16&gt;0,'BP2'!I16,)</f>
        <v>0</v>
      </c>
      <c r="J16" s="220">
        <f>IF($G16&gt;0,'BP2'!J16,)</f>
        <v>0</v>
      </c>
      <c r="K16" s="140">
        <f ca="1">IFERROR(IF(Q16&gt;0,Q16/G16*(SUM(H16:J16)),P16/G16*(SUM(H16:J16))),)</f>
        <v>0</v>
      </c>
      <c r="L16" s="141">
        <f ca="1">IF(K16&gt;2,K16*LOOKUP($K$8,Lists!$A$2:$A$812,IF($K$2="Non-Federal",Lists!$D$2:$D$812,Lists!$C$2:$C$812)),0)</f>
        <v>0</v>
      </c>
      <c r="M16" s="234">
        <f>IF(G16&gt;0,'BP2'!M16,)</f>
        <v>0</v>
      </c>
      <c r="N16" s="140">
        <f t="shared" ref="N16:N29" ca="1" si="1">IFERROR(IF(Q16&gt;0,Q16/G16*M16,P16/G16*M16),)</f>
        <v>0</v>
      </c>
      <c r="O16" s="141">
        <f ca="1">N16*LOOKUP($K$8,Lists!$A$2:$A$812,IF($K$2="Non-Federal",Lists!$D$2:$D$812,Lists!$C$2:$C$812))</f>
        <v>0</v>
      </c>
      <c r="P16" s="205">
        <f ca="1">IF($A$5&lt;='BP1'!$K$5,(1+$K$7)*INDIRECT("BP"&amp;$A$5-1&amp;"!P16"),)</f>
        <v>0</v>
      </c>
      <c r="Q16" s="205">
        <f>IF(COUNTIF(NIH,$E$9)&gt;0,(IF(G16&gt;0,IF((P16/G16)*12&gt;NIHSalCap,(NIHSalCap/12)*G16,),)),)</f>
        <v>0</v>
      </c>
      <c r="R16" s="117" t="s">
        <v>219</v>
      </c>
    </row>
    <row r="17" spans="1:18" s="2" customFormat="1" ht="14.25" customHeight="1">
      <c r="A17" s="184">
        <v>3</v>
      </c>
      <c r="B17" s="830">
        <f>IF($A$5&lt;=$K$5,'BP1'!B17,)</f>
        <v>0</v>
      </c>
      <c r="C17" s="831"/>
      <c r="D17" s="831"/>
      <c r="E17" s="831"/>
      <c r="F17" s="832"/>
      <c r="G17" s="229">
        <f>IF($A$5&lt;=$K$5,'BP1'!G17,)</f>
        <v>0</v>
      </c>
      <c r="H17" s="219">
        <f>IF($G17&gt;0,'BP2'!H17,)</f>
        <v>0</v>
      </c>
      <c r="I17" s="220">
        <f>IF($G17&gt;0,'BP2'!I17,)</f>
        <v>0</v>
      </c>
      <c r="J17" s="220">
        <f>IF($G17&gt;0,'BP2'!J17,)</f>
        <v>0</v>
      </c>
      <c r="K17" s="140">
        <f t="shared" ref="K17:K29" ca="1" si="2">IFERROR(IF(Q17&gt;0,Q17/G17*(SUM(H17:J17)),P17/G17*(SUM(H17:J17))),)</f>
        <v>0</v>
      </c>
      <c r="L17" s="141">
        <f ca="1">IF(K17&gt;2,K17*LOOKUP($K$8,Lists!$A$2:$A$812,IF($K$2="Non-Federal",Lists!$D$2:$D$812,Lists!$C$2:$C$812)),0)</f>
        <v>0</v>
      </c>
      <c r="M17" s="234">
        <f>IF(G17&gt;0,'BP2'!M17,)</f>
        <v>0</v>
      </c>
      <c r="N17" s="140">
        <f t="shared" ca="1" si="1"/>
        <v>0</v>
      </c>
      <c r="O17" s="141">
        <f ca="1">N17*LOOKUP($K$8,Lists!$A$2:$A$812,IF($K$2="Non-Federal",Lists!$D$2:$D$812,Lists!$C$2:$C$812))</f>
        <v>0</v>
      </c>
      <c r="P17" s="205">
        <f ca="1">IF($A$5&lt;='BP1'!$K$5,(1+$K$7)*INDIRECT("BP"&amp;$A$5-1&amp;"!P17"),)</f>
        <v>0</v>
      </c>
      <c r="Q17" s="205">
        <f t="shared" si="0"/>
        <v>0</v>
      </c>
      <c r="R17" s="117" t="s">
        <v>219</v>
      </c>
    </row>
    <row r="18" spans="1:18" s="2" customFormat="1" ht="14.25" customHeight="1">
      <c r="A18" s="184">
        <v>4</v>
      </c>
      <c r="B18" s="830">
        <f>IF($A$5&lt;=$K$5,'BP1'!B18,)</f>
        <v>0</v>
      </c>
      <c r="C18" s="831"/>
      <c r="D18" s="831"/>
      <c r="E18" s="831"/>
      <c r="F18" s="832"/>
      <c r="G18" s="229">
        <f>IF($A$5&lt;=$K$5,'BP1'!G18,)</f>
        <v>0</v>
      </c>
      <c r="H18" s="219">
        <f>IF($G18&gt;0,'BP2'!H18,)</f>
        <v>0</v>
      </c>
      <c r="I18" s="220">
        <f>IF($G18&gt;0,'BP2'!I18,)</f>
        <v>0</v>
      </c>
      <c r="J18" s="220">
        <f>IF($G18&gt;0,'BP2'!J18,)</f>
        <v>0</v>
      </c>
      <c r="K18" s="140">
        <f t="shared" ca="1" si="2"/>
        <v>0</v>
      </c>
      <c r="L18" s="141">
        <f ca="1">IF(K18&gt;2,K18*LOOKUP($K$8,Lists!$A$2:$A$812,IF($K$2="Non-Federal",Lists!$D$2:$D$812,Lists!$C$2:$C$812)),0)</f>
        <v>0</v>
      </c>
      <c r="M18" s="234">
        <f>IF(G18&gt;0,'BP2'!M18,)</f>
        <v>0</v>
      </c>
      <c r="N18" s="140">
        <f t="shared" ca="1" si="1"/>
        <v>0</v>
      </c>
      <c r="O18" s="141">
        <f ca="1">N18*LOOKUP($K$8,Lists!$A$2:$A$812,IF($K$2="Non-Federal",Lists!$D$2:$D$812,Lists!$C$2:$C$812))</f>
        <v>0</v>
      </c>
      <c r="P18" s="205">
        <f ca="1">IF($A$5&lt;='BP1'!$K$5,(1+$K$7)*INDIRECT("BP"&amp;$A$5-1&amp;"!P18"),)</f>
        <v>0</v>
      </c>
      <c r="Q18" s="205">
        <f t="shared" si="0"/>
        <v>0</v>
      </c>
      <c r="R18" s="117" t="s">
        <v>219</v>
      </c>
    </row>
    <row r="19" spans="1:18" s="2" customFormat="1" ht="14.25" customHeight="1">
      <c r="A19" s="184">
        <v>5</v>
      </c>
      <c r="B19" s="830">
        <f>IF($A$5&lt;=$K$5,'BP1'!B19,)</f>
        <v>0</v>
      </c>
      <c r="C19" s="831"/>
      <c r="D19" s="831"/>
      <c r="E19" s="831"/>
      <c r="F19" s="832"/>
      <c r="G19" s="229">
        <f>IF($A$5&lt;=$K$5,'BP1'!G19,)</f>
        <v>0</v>
      </c>
      <c r="H19" s="219">
        <f>IF($G19&gt;0,'BP2'!H19,)</f>
        <v>0</v>
      </c>
      <c r="I19" s="220">
        <f>IF($G19&gt;0,'BP2'!I19,)</f>
        <v>0</v>
      </c>
      <c r="J19" s="220">
        <f>IF($G19&gt;0,'BP2'!J19,)</f>
        <v>0</v>
      </c>
      <c r="K19" s="140">
        <f t="shared" ca="1" si="2"/>
        <v>0</v>
      </c>
      <c r="L19" s="141">
        <f ca="1">IF(K19&gt;2,K19*LOOKUP($K$8,Lists!$A$2:$A$812,IF($K$2="Non-Federal",Lists!$D$2:$D$812,Lists!$C$2:$C$812)),0)</f>
        <v>0</v>
      </c>
      <c r="M19" s="234">
        <f>IF(G19&gt;0,'BP2'!M19,)</f>
        <v>0</v>
      </c>
      <c r="N19" s="140">
        <f t="shared" ca="1" si="1"/>
        <v>0</v>
      </c>
      <c r="O19" s="141">
        <f ca="1">N19*LOOKUP($K$8,Lists!$A$2:$A$812,IF($K$2="Non-Federal",Lists!$D$2:$D$812,Lists!$C$2:$C$812))</f>
        <v>0</v>
      </c>
      <c r="P19" s="205">
        <f ca="1">IF($A$5&lt;='BP1'!$K$5,(1+$K$7)*INDIRECT("BP"&amp;$A$5-1&amp;"!P19"),)</f>
        <v>0</v>
      </c>
      <c r="Q19" s="205">
        <f t="shared" si="0"/>
        <v>0</v>
      </c>
      <c r="R19" s="117" t="s">
        <v>219</v>
      </c>
    </row>
    <row r="20" spans="1:18" s="2" customFormat="1" ht="14.25" hidden="1" customHeight="1">
      <c r="A20" s="184">
        <v>6</v>
      </c>
      <c r="B20" s="830">
        <f>IF($A$5&lt;=$K$5,'BP1'!B20,)</f>
        <v>0</v>
      </c>
      <c r="C20" s="831"/>
      <c r="D20" s="831"/>
      <c r="E20" s="831"/>
      <c r="F20" s="832"/>
      <c r="G20" s="229">
        <f>IF($A$5&lt;=$K$5,'BP1'!G20,)</f>
        <v>0</v>
      </c>
      <c r="H20" s="219">
        <f>IF($G20&gt;0,'BP2'!H20,)</f>
        <v>0</v>
      </c>
      <c r="I20" s="220">
        <f>IF($G20&gt;0,'BP2'!I20,)</f>
        <v>0</v>
      </c>
      <c r="J20" s="220">
        <f>IF($G20&gt;0,'BP2'!J20,)</f>
        <v>0</v>
      </c>
      <c r="K20" s="140">
        <f t="shared" ca="1" si="2"/>
        <v>0</v>
      </c>
      <c r="L20" s="141">
        <f ca="1">IF(K20&gt;2,K20*LOOKUP($K$8,Lists!$A$2:$A$812,IF($K$2="Non-Federal",Lists!$D$2:$D$812,Lists!$C$2:$C$812)),0)</f>
        <v>0</v>
      </c>
      <c r="M20" s="234">
        <f>IF(G20&gt;0,'BP2'!M20,)</f>
        <v>0</v>
      </c>
      <c r="N20" s="140">
        <f t="shared" ca="1" si="1"/>
        <v>0</v>
      </c>
      <c r="O20" s="141">
        <f ca="1">N20*LOOKUP($K$8,Lists!$A$2:$A$812,IF($K$2="Non-Federal",Lists!$D$2:$D$812,Lists!$C$2:$C$812))</f>
        <v>0</v>
      </c>
      <c r="P20" s="205">
        <f ca="1">IF($A$5&lt;='BP1'!$K$5,(1+$K$7)*INDIRECT("BP"&amp;$A$5-1&amp;"!P20"),)</f>
        <v>0</v>
      </c>
      <c r="Q20" s="205">
        <f t="shared" si="0"/>
        <v>0</v>
      </c>
      <c r="R20" s="117" t="s">
        <v>485</v>
      </c>
    </row>
    <row r="21" spans="1:18" s="2" customFormat="1" ht="14.25" hidden="1" customHeight="1">
      <c r="A21" s="184">
        <v>7</v>
      </c>
      <c r="B21" s="830">
        <f>IF($A$5&lt;=$K$5,'BP1'!B21,)</f>
        <v>0</v>
      </c>
      <c r="C21" s="831"/>
      <c r="D21" s="831"/>
      <c r="E21" s="831"/>
      <c r="F21" s="832"/>
      <c r="G21" s="229">
        <f>IF($A$5&lt;=$K$5,'BP1'!G21,)</f>
        <v>0</v>
      </c>
      <c r="H21" s="219">
        <f>IF($G21&gt;0,'BP2'!H21,)</f>
        <v>0</v>
      </c>
      <c r="I21" s="220">
        <f>IF($G21&gt;0,'BP2'!I21,)</f>
        <v>0</v>
      </c>
      <c r="J21" s="220">
        <f>IF($G21&gt;0,'BP2'!J21,)</f>
        <v>0</v>
      </c>
      <c r="K21" s="140">
        <f t="shared" ca="1" si="2"/>
        <v>0</v>
      </c>
      <c r="L21" s="141">
        <f ca="1">IF(K21&gt;2,K21*LOOKUP($K$8,Lists!$A$2:$A$812,IF($K$2="Non-Federal",Lists!$D$2:$D$812,Lists!$C$2:$C$812)),0)</f>
        <v>0</v>
      </c>
      <c r="M21" s="234">
        <f>IF(G21&gt;0,'BP2'!M21,)</f>
        <v>0</v>
      </c>
      <c r="N21" s="140">
        <f t="shared" ca="1" si="1"/>
        <v>0</v>
      </c>
      <c r="O21" s="141">
        <f ca="1">N21*LOOKUP($K$8,Lists!$A$2:$A$812,IF($K$2="Non-Federal",Lists!$D$2:$D$812,Lists!$C$2:$C$812))</f>
        <v>0</v>
      </c>
      <c r="P21" s="205">
        <f ca="1">IF($A$5&lt;='BP1'!$K$5,(1+$K$7)*INDIRECT("BP"&amp;$A$5-1&amp;"!P21"),)</f>
        <v>0</v>
      </c>
      <c r="Q21" s="205">
        <f t="shared" si="0"/>
        <v>0</v>
      </c>
      <c r="R21" s="117" t="s">
        <v>485</v>
      </c>
    </row>
    <row r="22" spans="1:18" s="2" customFormat="1" ht="14.25" hidden="1" customHeight="1">
      <c r="A22" s="184">
        <v>8</v>
      </c>
      <c r="B22" s="830">
        <f>IF($A$5&lt;=$K$5,'BP1'!B22,)</f>
        <v>0</v>
      </c>
      <c r="C22" s="831"/>
      <c r="D22" s="831"/>
      <c r="E22" s="831"/>
      <c r="F22" s="832"/>
      <c r="G22" s="229">
        <f>IF($A$5&lt;=$K$5,'BP1'!G22,)</f>
        <v>0</v>
      </c>
      <c r="H22" s="219">
        <f>IF($G22&gt;0,'BP2'!H22,)</f>
        <v>0</v>
      </c>
      <c r="I22" s="220">
        <f>IF($G22&gt;0,'BP2'!I22,)</f>
        <v>0</v>
      </c>
      <c r="J22" s="220">
        <f>IF($G22&gt;0,'BP2'!J22,)</f>
        <v>0</v>
      </c>
      <c r="K22" s="140">
        <f t="shared" ca="1" si="2"/>
        <v>0</v>
      </c>
      <c r="L22" s="141">
        <f ca="1">IF(K22&gt;2,K22*LOOKUP($K$8,Lists!$A$2:$A$812,IF($K$2="Non-Federal",Lists!$D$2:$D$812,Lists!$C$2:$C$812)),0)</f>
        <v>0</v>
      </c>
      <c r="M22" s="234">
        <f>IF(G22&gt;0,'BP2'!M22,)</f>
        <v>0</v>
      </c>
      <c r="N22" s="140">
        <f t="shared" ca="1" si="1"/>
        <v>0</v>
      </c>
      <c r="O22" s="141">
        <f ca="1">N22*LOOKUP($K$8,Lists!$A$2:$A$812,IF($K$2="Non-Federal",Lists!$D$2:$D$812,Lists!$C$2:$C$812))</f>
        <v>0</v>
      </c>
      <c r="P22" s="205">
        <f ca="1">IF($A$5&lt;='BP1'!$K$5,(1+$K$7)*INDIRECT("BP"&amp;$A$5-1&amp;"!P22"),)</f>
        <v>0</v>
      </c>
      <c r="Q22" s="205">
        <f t="shared" si="0"/>
        <v>0</v>
      </c>
      <c r="R22" s="117" t="s">
        <v>485</v>
      </c>
    </row>
    <row r="23" spans="1:18" s="2" customFormat="1" ht="14.25" hidden="1" customHeight="1">
      <c r="A23" s="184">
        <v>9</v>
      </c>
      <c r="B23" s="830">
        <f>IF($A$5&lt;=$K$5,'BP1'!B23,)</f>
        <v>0</v>
      </c>
      <c r="C23" s="831"/>
      <c r="D23" s="831"/>
      <c r="E23" s="831"/>
      <c r="F23" s="832"/>
      <c r="G23" s="229">
        <f>IF($A$5&lt;=$K$5,'BP1'!G23,)</f>
        <v>0</v>
      </c>
      <c r="H23" s="219">
        <f>IF($G23&gt;0,'BP2'!H23,)</f>
        <v>0</v>
      </c>
      <c r="I23" s="220">
        <f>IF($G23&gt;0,'BP2'!I23,)</f>
        <v>0</v>
      </c>
      <c r="J23" s="220">
        <f>IF($G23&gt;0,'BP2'!J23,)</f>
        <v>0</v>
      </c>
      <c r="K23" s="140">
        <f t="shared" ca="1" si="2"/>
        <v>0</v>
      </c>
      <c r="L23" s="141">
        <f ca="1">IF(K23&gt;2,K23*LOOKUP($K$8,Lists!$A$2:$A$812,IF($K$2="Non-Federal",Lists!$D$2:$D$812,Lists!$C$2:$C$812)),0)</f>
        <v>0</v>
      </c>
      <c r="M23" s="234">
        <f>IF(G23&gt;0,'BP2'!M23,)</f>
        <v>0</v>
      </c>
      <c r="N23" s="140">
        <f t="shared" ca="1" si="1"/>
        <v>0</v>
      </c>
      <c r="O23" s="141">
        <f ca="1">N23*LOOKUP($K$8,Lists!$A$2:$A$812,IF($K$2="Non-Federal",Lists!$D$2:$D$812,Lists!$C$2:$C$812))</f>
        <v>0</v>
      </c>
      <c r="P23" s="205">
        <f ca="1">IF($A$5&lt;='BP1'!$K$5,(1+$K$7)*INDIRECT("BP"&amp;$A$5-1&amp;"!P23"),)</f>
        <v>0</v>
      </c>
      <c r="Q23" s="205">
        <f t="shared" si="0"/>
        <v>0</v>
      </c>
      <c r="R23" s="117" t="s">
        <v>485</v>
      </c>
    </row>
    <row r="24" spans="1:18" s="2" customFormat="1" ht="14.25" hidden="1" customHeight="1">
      <c r="A24" s="184">
        <v>10</v>
      </c>
      <c r="B24" s="830">
        <f>IF($A$5&lt;=$K$5,'BP1'!B24,)</f>
        <v>0</v>
      </c>
      <c r="C24" s="831"/>
      <c r="D24" s="831"/>
      <c r="E24" s="831"/>
      <c r="F24" s="832"/>
      <c r="G24" s="229">
        <f>IF($A$5&lt;=$K$5,'BP1'!G24,)</f>
        <v>0</v>
      </c>
      <c r="H24" s="219">
        <f>IF($G24&gt;0,'BP2'!H24,)</f>
        <v>0</v>
      </c>
      <c r="I24" s="220">
        <f>IF($G24&gt;0,'BP2'!I24,)</f>
        <v>0</v>
      </c>
      <c r="J24" s="220">
        <f>IF($G24&gt;0,'BP2'!J24,)</f>
        <v>0</v>
      </c>
      <c r="K24" s="140">
        <f t="shared" ca="1" si="2"/>
        <v>0</v>
      </c>
      <c r="L24" s="141">
        <f ca="1">IF(K24&gt;2,K24*LOOKUP($K$8,Lists!$A$2:$A$812,IF($K$2="Non-Federal",Lists!$D$2:$D$812,Lists!$C$2:$C$812)),0)</f>
        <v>0</v>
      </c>
      <c r="M24" s="234">
        <f>IF(G24&gt;0,'BP2'!M24,)</f>
        <v>0</v>
      </c>
      <c r="N24" s="140">
        <f t="shared" ca="1" si="1"/>
        <v>0</v>
      </c>
      <c r="O24" s="141">
        <f ca="1">N24*LOOKUP($K$8,Lists!$A$2:$A$812,IF($K$2="Non-Federal",Lists!$D$2:$D$812,Lists!$C$2:$C$812))</f>
        <v>0</v>
      </c>
      <c r="P24" s="205">
        <f ca="1">IF($A$5&lt;='BP1'!$K$5,(1+$K$7)*INDIRECT("BP"&amp;$A$5-1&amp;"!P24"),)</f>
        <v>0</v>
      </c>
      <c r="Q24" s="205">
        <f t="shared" si="0"/>
        <v>0</v>
      </c>
      <c r="R24" s="117" t="s">
        <v>485</v>
      </c>
    </row>
    <row r="25" spans="1:18" s="2" customFormat="1" ht="14.25" hidden="1" customHeight="1">
      <c r="A25" s="184">
        <v>11</v>
      </c>
      <c r="B25" s="830">
        <f>IF($A$5&lt;=$K$5,'BP1'!B25,)</f>
        <v>0</v>
      </c>
      <c r="C25" s="831"/>
      <c r="D25" s="831"/>
      <c r="E25" s="831"/>
      <c r="F25" s="832"/>
      <c r="G25" s="229">
        <f>IF($A$5&lt;=$K$5,'BP1'!G25,)</f>
        <v>0</v>
      </c>
      <c r="H25" s="219">
        <f>IF($G25&gt;0,'BP2'!H25,)</f>
        <v>0</v>
      </c>
      <c r="I25" s="220">
        <f>IF($G25&gt;0,'BP2'!I25,)</f>
        <v>0</v>
      </c>
      <c r="J25" s="220">
        <f>IF($G25&gt;0,'BP2'!J25,)</f>
        <v>0</v>
      </c>
      <c r="K25" s="140">
        <f t="shared" ca="1" si="2"/>
        <v>0</v>
      </c>
      <c r="L25" s="141">
        <f ca="1">IF(K25&gt;2,K25*LOOKUP($K$8,Lists!$A$2:$A$812,IF($K$2="Non-Federal",Lists!$D$2:$D$812,Lists!$C$2:$C$812)),0)</f>
        <v>0</v>
      </c>
      <c r="M25" s="234">
        <f>IF(G25&gt;0,'BP2'!M25,)</f>
        <v>0</v>
      </c>
      <c r="N25" s="140">
        <f t="shared" ca="1" si="1"/>
        <v>0</v>
      </c>
      <c r="O25" s="141">
        <f ca="1">N25*LOOKUP($K$8,Lists!$A$2:$A$812,IF($K$2="Non-Federal",Lists!$D$2:$D$812,Lists!$C$2:$C$812))</f>
        <v>0</v>
      </c>
      <c r="P25" s="205">
        <f ca="1">IF($A$5&lt;='BP1'!$K$5,(1+$K$7)*INDIRECT("BP"&amp;$A$5-1&amp;"!P25"),)</f>
        <v>0</v>
      </c>
      <c r="Q25" s="205">
        <f t="shared" si="0"/>
        <v>0</v>
      </c>
      <c r="R25" s="117" t="s">
        <v>486</v>
      </c>
    </row>
    <row r="26" spans="1:18" s="2" customFormat="1" ht="14.25" hidden="1" customHeight="1">
      <c r="A26" s="184">
        <v>12</v>
      </c>
      <c r="B26" s="830">
        <f>IF($A$5&lt;=$K$5,'BP1'!B26,)</f>
        <v>0</v>
      </c>
      <c r="C26" s="831"/>
      <c r="D26" s="831"/>
      <c r="E26" s="831"/>
      <c r="F26" s="832"/>
      <c r="G26" s="229">
        <f>IF($A$5&lt;=$K$5,'BP1'!G26,)</f>
        <v>0</v>
      </c>
      <c r="H26" s="219">
        <f>IF($G26&gt;0,'BP2'!H26,)</f>
        <v>0</v>
      </c>
      <c r="I26" s="220">
        <f>IF($G26&gt;0,'BP2'!I26,)</f>
        <v>0</v>
      </c>
      <c r="J26" s="220">
        <f>IF($G26&gt;0,'BP2'!J26,)</f>
        <v>0</v>
      </c>
      <c r="K26" s="140">
        <f t="shared" ca="1" si="2"/>
        <v>0</v>
      </c>
      <c r="L26" s="141">
        <f ca="1">IF(K26&gt;2,K26*LOOKUP($K$8,Lists!$A$2:$A$812,IF($K$2="Non-Federal",Lists!$D$2:$D$812,Lists!$C$2:$C$812)),0)</f>
        <v>0</v>
      </c>
      <c r="M26" s="234">
        <f>IF(G26&gt;0,'BP2'!M26,)</f>
        <v>0</v>
      </c>
      <c r="N26" s="140">
        <f t="shared" ca="1" si="1"/>
        <v>0</v>
      </c>
      <c r="O26" s="141">
        <f ca="1">N26*LOOKUP($K$8,Lists!$A$2:$A$812,IF($K$2="Non-Federal",Lists!$D$2:$D$812,Lists!$C$2:$C$812))</f>
        <v>0</v>
      </c>
      <c r="P26" s="205">
        <f ca="1">IF($A$5&lt;='BP1'!$K$5,(1+$K$7)*INDIRECT("BP"&amp;$A$5-1&amp;"!P26"),)</f>
        <v>0</v>
      </c>
      <c r="Q26" s="205">
        <f t="shared" si="0"/>
        <v>0</v>
      </c>
      <c r="R26" s="117" t="s">
        <v>486</v>
      </c>
    </row>
    <row r="27" spans="1:18" s="2" customFormat="1" ht="14.25" hidden="1" customHeight="1">
      <c r="A27" s="184">
        <v>13</v>
      </c>
      <c r="B27" s="830">
        <f>IF($A$5&lt;=$K$5,'BP1'!B27,)</f>
        <v>0</v>
      </c>
      <c r="C27" s="831"/>
      <c r="D27" s="831"/>
      <c r="E27" s="831"/>
      <c r="F27" s="832"/>
      <c r="G27" s="229">
        <f>IF($A$5&lt;=$K$5,'BP1'!G27,)</f>
        <v>0</v>
      </c>
      <c r="H27" s="219">
        <f>IF($G27&gt;0,'BP2'!H27,)</f>
        <v>0</v>
      </c>
      <c r="I27" s="220">
        <f>IF($G27&gt;0,'BP2'!I27,)</f>
        <v>0</v>
      </c>
      <c r="J27" s="220">
        <f>IF($G27&gt;0,'BP2'!J27,)</f>
        <v>0</v>
      </c>
      <c r="K27" s="140">
        <f t="shared" ca="1" si="2"/>
        <v>0</v>
      </c>
      <c r="L27" s="141">
        <f ca="1">IF(K27&gt;2,K27*LOOKUP($K$8,Lists!$A$2:$A$812,IF($K$2="Non-Federal",Lists!$D$2:$D$812,Lists!$C$2:$C$812)),0)</f>
        <v>0</v>
      </c>
      <c r="M27" s="234">
        <f>IF(G27&gt;0,'BP2'!M27,)</f>
        <v>0</v>
      </c>
      <c r="N27" s="140">
        <f t="shared" ca="1" si="1"/>
        <v>0</v>
      </c>
      <c r="O27" s="141">
        <f ca="1">N27*LOOKUP($K$8,Lists!$A$2:$A$812,IF($K$2="Non-Federal",Lists!$D$2:$D$812,Lists!$C$2:$C$812))</f>
        <v>0</v>
      </c>
      <c r="P27" s="205">
        <f ca="1">IF($A$5&lt;='BP1'!$K$5,(1+$K$7)*INDIRECT("BP"&amp;$A$5-1&amp;"!P27"),)</f>
        <v>0</v>
      </c>
      <c r="Q27" s="205">
        <f t="shared" si="0"/>
        <v>0</v>
      </c>
      <c r="R27" s="117" t="s">
        <v>486</v>
      </c>
    </row>
    <row r="28" spans="1:18" s="2" customFormat="1" ht="14.25" hidden="1" customHeight="1">
      <c r="A28" s="184">
        <v>14</v>
      </c>
      <c r="B28" s="830">
        <f>IF($A$5&lt;=$K$5,'BP1'!B28,)</f>
        <v>0</v>
      </c>
      <c r="C28" s="831"/>
      <c r="D28" s="831"/>
      <c r="E28" s="831"/>
      <c r="F28" s="832"/>
      <c r="G28" s="229">
        <f>IF($A$5&lt;=$K$5,'BP1'!G28,)</f>
        <v>0</v>
      </c>
      <c r="H28" s="219">
        <f>IF($G28&gt;0,'BP2'!H28,)</f>
        <v>0</v>
      </c>
      <c r="I28" s="220">
        <f>IF($G28&gt;0,'BP2'!I28,)</f>
        <v>0</v>
      </c>
      <c r="J28" s="220">
        <f>IF($G28&gt;0,'BP2'!J28,)</f>
        <v>0</v>
      </c>
      <c r="K28" s="140">
        <f t="shared" ca="1" si="2"/>
        <v>0</v>
      </c>
      <c r="L28" s="141">
        <f ca="1">IF(K28&gt;2,K28*LOOKUP($K$8,Lists!$A$2:$A$812,IF($K$2="Non-Federal",Lists!$D$2:$D$812,Lists!$C$2:$C$812)),0)</f>
        <v>0</v>
      </c>
      <c r="M28" s="234">
        <f>IF(G28&gt;0,'BP2'!M28,)</f>
        <v>0</v>
      </c>
      <c r="N28" s="140">
        <f t="shared" ca="1" si="1"/>
        <v>0</v>
      </c>
      <c r="O28" s="141">
        <f ca="1">N28*LOOKUP($K$8,Lists!$A$2:$A$812,IF($K$2="Non-Federal",Lists!$D$2:$D$812,Lists!$C$2:$C$812))</f>
        <v>0</v>
      </c>
      <c r="P28" s="205">
        <f ca="1">IF($A$5&lt;='BP1'!$K$5,(1+$K$7)*INDIRECT("BP"&amp;$A$5-1&amp;"!P28"),)</f>
        <v>0</v>
      </c>
      <c r="Q28" s="205">
        <f t="shared" si="0"/>
        <v>0</v>
      </c>
      <c r="R28" s="117" t="s">
        <v>486</v>
      </c>
    </row>
    <row r="29" spans="1:18" s="2" customFormat="1" ht="14.25" hidden="1" customHeight="1">
      <c r="A29" s="184">
        <v>15</v>
      </c>
      <c r="B29" s="830">
        <f>IF($A$5&lt;=$K$5,'BP1'!B29,)</f>
        <v>0</v>
      </c>
      <c r="C29" s="831"/>
      <c r="D29" s="831"/>
      <c r="E29" s="831"/>
      <c r="F29" s="832"/>
      <c r="G29" s="229">
        <f>IF($A$5&lt;=$K$5,'BP1'!G29,)</f>
        <v>0</v>
      </c>
      <c r="H29" s="219">
        <f>IF($G29&gt;0,'BP2'!H29,)</f>
        <v>0</v>
      </c>
      <c r="I29" s="220">
        <f>IF($G29&gt;0,'BP2'!I29,)</f>
        <v>0</v>
      </c>
      <c r="J29" s="220">
        <f>IF($G29&gt;0,'BP2'!J29,)</f>
        <v>0</v>
      </c>
      <c r="K29" s="140">
        <f t="shared" ca="1" si="2"/>
        <v>0</v>
      </c>
      <c r="L29" s="141">
        <f ca="1">IF(K29&gt;2,K29*LOOKUP($K$8,Lists!$A$2:$A$812,IF($K$2="Non-Federal",Lists!$D$2:$D$812,Lists!$C$2:$C$812)),0)</f>
        <v>0</v>
      </c>
      <c r="M29" s="234">
        <f>IF(G29&gt;0,'BP2'!M29,)</f>
        <v>0</v>
      </c>
      <c r="N29" s="140">
        <f t="shared" ca="1" si="1"/>
        <v>0</v>
      </c>
      <c r="O29" s="141">
        <f ca="1">N29*LOOKUP($K$8,Lists!$A$2:$A$812,IF($K$2="Non-Federal",Lists!$D$2:$D$812,Lists!$C$2:$C$812))</f>
        <v>0</v>
      </c>
      <c r="P29" s="205">
        <f ca="1">IF($A$5&lt;='BP1'!$K$5,(1+$K$7)*INDIRECT("BP"&amp;$A$5-1&amp;"!P29"),)</f>
        <v>0</v>
      </c>
      <c r="Q29" s="205">
        <f t="shared" si="0"/>
        <v>0</v>
      </c>
      <c r="R29" s="117" t="s">
        <v>486</v>
      </c>
    </row>
    <row r="30" spans="1:18" s="2" customFormat="1" ht="14.25" customHeight="1">
      <c r="A30" s="742" t="s">
        <v>203</v>
      </c>
      <c r="B30" s="743"/>
      <c r="C30" s="743"/>
      <c r="D30" s="743"/>
      <c r="E30" s="743"/>
      <c r="F30" s="744"/>
      <c r="G30" s="17"/>
      <c r="H30" s="200">
        <f t="shared" ref="H30:O30" si="3">SUM(H15:H29)</f>
        <v>0</v>
      </c>
      <c r="I30" s="200">
        <f t="shared" si="3"/>
        <v>0</v>
      </c>
      <c r="J30" s="200">
        <f t="shared" si="3"/>
        <v>0</v>
      </c>
      <c r="K30" s="141">
        <f t="shared" ca="1" si="3"/>
        <v>0</v>
      </c>
      <c r="L30" s="141">
        <f t="shared" ca="1" si="3"/>
        <v>0</v>
      </c>
      <c r="M30" s="234">
        <f t="shared" si="3"/>
        <v>0</v>
      </c>
      <c r="N30" s="142">
        <f t="shared" ca="1" si="3"/>
        <v>0</v>
      </c>
      <c r="O30" s="141">
        <f t="shared" ca="1" si="3"/>
        <v>0</v>
      </c>
      <c r="P30" s="59"/>
      <c r="Q30" s="327"/>
      <c r="R30" s="117" t="s">
        <v>219</v>
      </c>
    </row>
    <row r="31" spans="1:18" s="2" customFormat="1" ht="14.25" customHeight="1">
      <c r="A31" s="185" t="s">
        <v>204</v>
      </c>
      <c r="B31" s="180"/>
      <c r="C31" s="180"/>
      <c r="D31" s="182"/>
      <c r="E31" s="182"/>
      <c r="F31" s="182"/>
      <c r="G31" s="18"/>
      <c r="H31" s="201"/>
      <c r="I31" s="202"/>
      <c r="J31" s="202"/>
      <c r="K31" s="26"/>
      <c r="L31" s="357"/>
      <c r="M31" s="358"/>
      <c r="N31" s="26"/>
      <c r="O31" s="27"/>
      <c r="P31" s="195" t="s">
        <v>109</v>
      </c>
      <c r="Q31" s="328"/>
      <c r="R31" s="117" t="s">
        <v>219</v>
      </c>
    </row>
    <row r="32" spans="1:18" s="2" customFormat="1" ht="14.25" customHeight="1">
      <c r="A32" s="185" t="s">
        <v>3</v>
      </c>
      <c r="B32" s="381">
        <f>IF($A$5&lt;=$K$5,'BP2'!B32,0)</f>
        <v>0</v>
      </c>
      <c r="C32" s="180" t="s">
        <v>457</v>
      </c>
      <c r="D32" s="182" t="str">
        <f>"Postdoctoral Associate"&amp;IF(B32&gt;0,"s",)</f>
        <v>Postdoctoral Associate</v>
      </c>
      <c r="E32" s="182"/>
      <c r="F32" s="182"/>
      <c r="G32" s="436">
        <v>12</v>
      </c>
      <c r="H32" s="198">
        <f>IF($A$5&lt;=$K$5,(IF('BP2'!H32&lt;&gt;'BP2'!B32*12,'BP2'!H32,B32*12)),0)</f>
        <v>0</v>
      </c>
      <c r="I32" s="199"/>
      <c r="J32" s="199"/>
      <c r="K32" s="140">
        <f t="shared" ref="K32:K40" ca="1" si="4">IFERROR(P32/12*H32,)</f>
        <v>0</v>
      </c>
      <c r="L32" s="141">
        <f>IF($A$5&lt;=$K$5,K32*LOOKUP($K$8,Lists!$A$2:$A$812,IF('BP1'!$K$2="Non-Federal",Lists!$D$2:$D$812,Lists!$C$2:$C$812)),0)</f>
        <v>0</v>
      </c>
      <c r="M32" s="234">
        <f>IF(B32&gt;0,'BP2'!M32,)</f>
        <v>0</v>
      </c>
      <c r="N32" s="140">
        <f ca="1">IFERROR(P32/12*M32,)</f>
        <v>0</v>
      </c>
      <c r="O32" s="141">
        <f ca="1">N32*LOOKUP($K$8,Lists!$A$2:$A$812,IF($K$2="Non-Federal",Lists!$D$2:$D$812,Lists!$C$2:$C$812))</f>
        <v>0</v>
      </c>
      <c r="P32" s="205">
        <f ca="1">IF($A$5&lt;=$K$5,INDIRECT("BP"&amp;$A$5-1&amp;"!P32")*(1+$K$7),0)</f>
        <v>0</v>
      </c>
      <c r="Q32" s="326"/>
      <c r="R32" s="117" t="s">
        <v>219</v>
      </c>
    </row>
    <row r="33" spans="1:18" s="2" customFormat="1" ht="14.25" customHeight="1">
      <c r="A33" s="185" t="s">
        <v>488</v>
      </c>
      <c r="B33" s="381">
        <f>IF($A$5&lt;=$K$5,'BP2'!B33,0)</f>
        <v>0</v>
      </c>
      <c r="C33" s="180" t="s">
        <v>457</v>
      </c>
      <c r="D33" s="182" t="str">
        <f>'BP1'!D33</f>
        <v>Other Professional</v>
      </c>
      <c r="E33" s="182"/>
      <c r="F33" s="182"/>
      <c r="G33" s="436">
        <v>12</v>
      </c>
      <c r="H33" s="198">
        <f>IF($A$5&lt;=$K$5,(IF('BP2'!H33&lt;&gt;'BP2'!B33*12,'BP2'!H33,B33*12)),0)</f>
        <v>0</v>
      </c>
      <c r="I33" s="199"/>
      <c r="J33" s="199"/>
      <c r="K33" s="140">
        <f t="shared" ca="1" si="4"/>
        <v>0</v>
      </c>
      <c r="L33" s="141">
        <f>IF($A$5&lt;=$K$5,K33*LOOKUP($K$8,Lists!$A$2:$A$812,IF('BP1'!$K$2="Non-Federal",Lists!$D$2:$D$812,Lists!$C$2:$C$812)),0)</f>
        <v>0</v>
      </c>
      <c r="M33" s="234">
        <f>IF(B33&gt;0,'BP2'!M33,)</f>
        <v>0</v>
      </c>
      <c r="N33" s="140">
        <f t="shared" ref="N33:N40" ca="1" si="5">IFERROR(P33/12*M33,)</f>
        <v>0</v>
      </c>
      <c r="O33" s="141">
        <f ca="1">N33*LOOKUP($K$8,Lists!$A$2:$A$812,IF($K$2="Non-Federal",Lists!$D$2:$D$812,Lists!$C$2:$C$812))</f>
        <v>0</v>
      </c>
      <c r="P33" s="205">
        <f ca="1">IF($A$5&lt;=$K$5,INDIRECT("BP"&amp;$A$5-1&amp;"!P33")*(1+$K$7),0)</f>
        <v>0</v>
      </c>
      <c r="Q33" s="326"/>
      <c r="R33" s="117" t="s">
        <v>219</v>
      </c>
    </row>
    <row r="34" spans="1:18" s="2" customFormat="1" ht="14.25" hidden="1" customHeight="1">
      <c r="A34" s="185" t="s">
        <v>489</v>
      </c>
      <c r="B34" s="381">
        <f>IF($A$5&lt;=$K$5,'BP2'!B34,0)</f>
        <v>0</v>
      </c>
      <c r="C34" s="180" t="s">
        <v>457</v>
      </c>
      <c r="D34" s="182" t="str">
        <f>'BP1'!D34</f>
        <v>Other Professional</v>
      </c>
      <c r="E34" s="182"/>
      <c r="F34" s="182"/>
      <c r="G34" s="436">
        <v>12</v>
      </c>
      <c r="H34" s="198">
        <f>IF($A$5&lt;=$K$5,(IF('BP2'!H34&lt;&gt;'BP2'!B34*12,'BP2'!H34,B34*12)),0)</f>
        <v>0</v>
      </c>
      <c r="I34" s="199"/>
      <c r="J34" s="199"/>
      <c r="K34" s="140">
        <f t="shared" ca="1" si="4"/>
        <v>0</v>
      </c>
      <c r="L34" s="141">
        <f>IF($A$5&lt;=$K$5,K34*LOOKUP($K$8,Lists!$A$2:$A$812,IF('BP1'!$K$2="Non-Federal",Lists!$D$2:$D$812,Lists!$C$2:$C$812)),0)</f>
        <v>0</v>
      </c>
      <c r="M34" s="234">
        <f>IF(B34&gt;0,'BP2'!M34,)</f>
        <v>0</v>
      </c>
      <c r="N34" s="140">
        <f t="shared" ca="1" si="5"/>
        <v>0</v>
      </c>
      <c r="O34" s="141">
        <f ca="1">N34*LOOKUP($K$8,Lists!$A$2:$A$812,IF($K$2="Non-Federal",Lists!$D$2:$D$812,Lists!$C$2:$C$812))</f>
        <v>0</v>
      </c>
      <c r="P34" s="205">
        <f ca="1">IF($A$5&lt;=$K$5,INDIRECT("BP"&amp;$A$5-1&amp;"!P34")*(1+$K$7),0)</f>
        <v>0</v>
      </c>
      <c r="Q34" s="326"/>
      <c r="R34" s="117" t="s">
        <v>493</v>
      </c>
    </row>
    <row r="35" spans="1:18" s="2" customFormat="1" ht="14.25" hidden="1" customHeight="1">
      <c r="A35" s="185" t="s">
        <v>490</v>
      </c>
      <c r="B35" s="381">
        <f>IF($A$5&lt;=$K$5,'BP2'!B35,0)</f>
        <v>0</v>
      </c>
      <c r="C35" s="180" t="s">
        <v>457</v>
      </c>
      <c r="D35" s="182" t="str">
        <f>'BP1'!D35</f>
        <v>Other Professional</v>
      </c>
      <c r="E35" s="182"/>
      <c r="F35" s="182"/>
      <c r="G35" s="436">
        <v>12</v>
      </c>
      <c r="H35" s="198">
        <f>IF($A$5&lt;=$K$5,(IF('BP2'!H35&lt;&gt;'BP2'!B35*12,'BP2'!H35,B35*12)),0)</f>
        <v>0</v>
      </c>
      <c r="I35" s="199"/>
      <c r="J35" s="199"/>
      <c r="K35" s="140">
        <f t="shared" ca="1" si="4"/>
        <v>0</v>
      </c>
      <c r="L35" s="141">
        <f>IF($A$5&lt;=$K$5,K35*LOOKUP($K$8,Lists!$A$2:$A$812,IF('BP1'!$K$2="Non-Federal",Lists!$D$2:$D$812,Lists!$C$2:$C$812)),0)</f>
        <v>0</v>
      </c>
      <c r="M35" s="234">
        <f>IF(B35&gt;0,'BP2'!M35,)</f>
        <v>0</v>
      </c>
      <c r="N35" s="140">
        <f t="shared" ca="1" si="5"/>
        <v>0</v>
      </c>
      <c r="O35" s="141">
        <f ca="1">N35*LOOKUP($K$8,Lists!$A$2:$A$812,IF($K$2="Non-Federal",Lists!$D$2:$D$812,Lists!$C$2:$C$812))</f>
        <v>0</v>
      </c>
      <c r="P35" s="205">
        <f ca="1">IF($A$5&lt;=$K$5,INDIRECT("BP"&amp;$A$5-1&amp;"!P35")*(1+$K$7),0)</f>
        <v>0</v>
      </c>
      <c r="Q35" s="326"/>
      <c r="R35" s="117" t="s">
        <v>493</v>
      </c>
    </row>
    <row r="36" spans="1:18" s="2" customFormat="1" ht="14.25" hidden="1" customHeight="1">
      <c r="A36" s="185" t="s">
        <v>491</v>
      </c>
      <c r="B36" s="381">
        <f>IF($A$5&lt;=$K$5,'BP2'!B36,0)</f>
        <v>0</v>
      </c>
      <c r="C36" s="180" t="s">
        <v>457</v>
      </c>
      <c r="D36" s="182" t="str">
        <f>'BP1'!D36</f>
        <v>Other Professional</v>
      </c>
      <c r="E36" s="182"/>
      <c r="F36" s="182"/>
      <c r="G36" s="436">
        <v>12</v>
      </c>
      <c r="H36" s="198">
        <f>IF($A$5&lt;=$K$5,(IF('BP2'!H36&lt;&gt;'BP2'!B36*12,'BP2'!H36,B36*12)),0)</f>
        <v>0</v>
      </c>
      <c r="I36" s="199"/>
      <c r="J36" s="199"/>
      <c r="K36" s="140">
        <f t="shared" ca="1" si="4"/>
        <v>0</v>
      </c>
      <c r="L36" s="141">
        <f>IF($A$5&lt;=$K$5,K36*LOOKUP($K$8,Lists!$A$2:$A$812,IF('BP1'!$K$2="Non-Federal",Lists!$D$2:$D$812,Lists!$C$2:$C$812)),0)</f>
        <v>0</v>
      </c>
      <c r="M36" s="234">
        <f>IF(B36&gt;0,'BP2'!M36,)</f>
        <v>0</v>
      </c>
      <c r="N36" s="140">
        <f t="shared" ca="1" si="5"/>
        <v>0</v>
      </c>
      <c r="O36" s="141">
        <f ca="1">N36*LOOKUP($K$8,Lists!$A$2:$A$812,IF($K$2="Non-Federal",Lists!$D$2:$D$812,Lists!$C$2:$C$812))</f>
        <v>0</v>
      </c>
      <c r="P36" s="205">
        <f ca="1">IF($A$5&lt;=$K$5,INDIRECT("BP"&amp;$A$5-1&amp;"!P36")*(1+$K$7),0)</f>
        <v>0</v>
      </c>
      <c r="Q36" s="326"/>
      <c r="R36" s="117" t="s">
        <v>493</v>
      </c>
    </row>
    <row r="37" spans="1:18" s="2" customFormat="1" ht="14.25" hidden="1" customHeight="1">
      <c r="A37" s="185" t="s">
        <v>492</v>
      </c>
      <c r="B37" s="381">
        <f>IF($A$5&lt;=$K$5,'BP2'!B37,0)</f>
        <v>0</v>
      </c>
      <c r="C37" s="180" t="s">
        <v>457</v>
      </c>
      <c r="D37" s="182" t="str">
        <f>'BP1'!D37</f>
        <v>Other Professional</v>
      </c>
      <c r="E37" s="182"/>
      <c r="F37" s="182"/>
      <c r="G37" s="436">
        <v>12</v>
      </c>
      <c r="H37" s="198">
        <f>IF($A$5&lt;=$K$5,(IF('BP2'!H37&lt;&gt;'BP2'!B37*12,'BP2'!H37,B37*12)),0)</f>
        <v>0</v>
      </c>
      <c r="I37" s="199"/>
      <c r="J37" s="199"/>
      <c r="K37" s="140">
        <f t="shared" ca="1" si="4"/>
        <v>0</v>
      </c>
      <c r="L37" s="141">
        <f>IF($A$5&lt;=$K$5,K37*LOOKUP($K$8,Lists!$A$2:$A$812,IF('BP1'!$K$2="Non-Federal",Lists!$D$2:$D$812,Lists!$C$2:$C$812)),0)</f>
        <v>0</v>
      </c>
      <c r="M37" s="234">
        <f>IF(B37&gt;0,'BP2'!M37,)</f>
        <v>0</v>
      </c>
      <c r="N37" s="140">
        <f t="shared" ca="1" si="5"/>
        <v>0</v>
      </c>
      <c r="O37" s="141">
        <f ca="1">N37*LOOKUP($K$8,Lists!$A$2:$A$812,IF($K$2="Non-Federal",Lists!$D$2:$D$812,Lists!$C$2:$C$812))</f>
        <v>0</v>
      </c>
      <c r="P37" s="205">
        <f ca="1">IF($A$5&lt;=$K$5,INDIRECT("BP"&amp;$A$5-1&amp;"!P37")*(1+$K$7),0)</f>
        <v>0</v>
      </c>
      <c r="Q37" s="326"/>
      <c r="R37" s="117" t="s">
        <v>493</v>
      </c>
    </row>
    <row r="38" spans="1:18" s="2" customFormat="1" ht="14.25" customHeight="1">
      <c r="A38" s="185" t="s">
        <v>4</v>
      </c>
      <c r="B38" s="381">
        <f>IF($A$5&lt;=$K$5,'BP2'!B38,0)</f>
        <v>0</v>
      </c>
      <c r="C38" s="180" t="s">
        <v>457</v>
      </c>
      <c r="D38" s="182" t="str">
        <f>"Graduate Student"&amp;IF(B38&gt;0,"s",)</f>
        <v>Graduate Student</v>
      </c>
      <c r="E38" s="182"/>
      <c r="F38" s="182"/>
      <c r="G38" s="436">
        <v>12</v>
      </c>
      <c r="H38" s="198">
        <f>IF($A$5&lt;=$K$5,(IF('BP2'!H38&lt;&gt;'BP2'!B38*12,'BP2'!H38,B38*12)),0)</f>
        <v>0</v>
      </c>
      <c r="I38" s="199"/>
      <c r="J38" s="199"/>
      <c r="K38" s="140">
        <f t="shared" ca="1" si="4"/>
        <v>0</v>
      </c>
      <c r="L38" s="141">
        <f>IF($A$5&lt;=$K$5,K38*LOOKUP($K$8,Lists!$A$2:$A$812,Lists!$F$2:$F$812),0)</f>
        <v>0</v>
      </c>
      <c r="M38" s="234">
        <f>IF(B38&gt;0,'BP2'!M38,)</f>
        <v>0</v>
      </c>
      <c r="N38" s="140">
        <f t="shared" ca="1" si="5"/>
        <v>0</v>
      </c>
      <c r="O38" s="141">
        <f ca="1">N38*LOOKUP($K$8,Lists!$A$2:$A$812,Lists!$F$2:$F$812)</f>
        <v>0</v>
      </c>
      <c r="P38" s="205">
        <f ca="1">IF($A$5&lt;=$K$5,INDIRECT("BP"&amp;$A$5-1&amp;"!P38")*(1+$K$7),0)</f>
        <v>0</v>
      </c>
      <c r="Q38" s="326"/>
      <c r="R38" s="117" t="s">
        <v>219</v>
      </c>
    </row>
    <row r="39" spans="1:18" s="2" customFormat="1" ht="14.25" customHeight="1">
      <c r="A39" s="185" t="s">
        <v>5</v>
      </c>
      <c r="B39" s="381">
        <f>IF($A$5&lt;=$K$5,'BP2'!B39,0)</f>
        <v>0</v>
      </c>
      <c r="C39" s="180" t="s">
        <v>457</v>
      </c>
      <c r="D39" s="182" t="str">
        <f>"Undergraduate Student"&amp;IF(B39&gt;0,"s",)</f>
        <v>Undergraduate Student</v>
      </c>
      <c r="E39" s="182"/>
      <c r="F39" s="182"/>
      <c r="G39" s="436">
        <v>12</v>
      </c>
      <c r="H39" s="198">
        <f>IF($A$5&lt;=$K$5,(IF('BP2'!H39&lt;&gt;'BP2'!B39*12,'BP2'!H39,B39*12)),0)</f>
        <v>0</v>
      </c>
      <c r="I39" s="199"/>
      <c r="J39" s="199"/>
      <c r="K39" s="140">
        <f t="shared" ca="1" si="4"/>
        <v>0</v>
      </c>
      <c r="L39" s="199"/>
      <c r="M39" s="234">
        <f>IF(B39&gt;0,'BP2'!M39,)</f>
        <v>0</v>
      </c>
      <c r="N39" s="140">
        <f ca="1">IFERROR(P39/12*M39,)</f>
        <v>0</v>
      </c>
      <c r="O39" s="199"/>
      <c r="P39" s="205">
        <f ca="1">IF($A$5&lt;=$K$5,INDIRECT("BP"&amp;$A$5-1&amp;"!P39")*(1+$K$7),0)</f>
        <v>0</v>
      </c>
      <c r="Q39" s="326"/>
      <c r="R39" s="117" t="s">
        <v>219</v>
      </c>
    </row>
    <row r="40" spans="1:18" s="2" customFormat="1" ht="14.25" customHeight="1" thickBot="1">
      <c r="A40" s="185" t="s">
        <v>6</v>
      </c>
      <c r="B40" s="381">
        <f>IF($A$5&lt;=$K$5,'BP2'!B40,0)</f>
        <v>0</v>
      </c>
      <c r="C40" s="180" t="s">
        <v>457</v>
      </c>
      <c r="D40" s="182" t="str">
        <f>"Other"&amp;IF(B40&gt;0,"s",)&amp;" (Carrying Statutory Benefits)"</f>
        <v>Other (Carrying Statutory Benefits)</v>
      </c>
      <c r="E40" s="182"/>
      <c r="F40" s="182"/>
      <c r="G40" s="436">
        <v>12</v>
      </c>
      <c r="H40" s="198">
        <f>IF($A$5&lt;=$K$5,(IF('BP2'!H40&lt;&gt;'BP2'!B40*12,'BP2'!H40,B40*12)),0)</f>
        <v>0</v>
      </c>
      <c r="I40" s="199"/>
      <c r="J40" s="199"/>
      <c r="K40" s="140">
        <f t="shared" ca="1" si="4"/>
        <v>0</v>
      </c>
      <c r="L40" s="141">
        <f>IF($A$5&lt;=$K$5,K40*LOOKUP($K$8,Lists!$A$2:$A$812,Lists!$E$2:$E$812),0)</f>
        <v>0</v>
      </c>
      <c r="M40" s="234">
        <f>IF(B40&gt;0,'BP2'!M40,)</f>
        <v>0</v>
      </c>
      <c r="N40" s="140">
        <f t="shared" ca="1" si="5"/>
        <v>0</v>
      </c>
      <c r="O40" s="141">
        <f ca="1">N40*LOOKUP($K$8,Lists!$A$2:$A$812,Lists!$E$2:$E$812)</f>
        <v>0</v>
      </c>
      <c r="P40" s="205">
        <f ca="1">IF($A$5&lt;=$K$5,INDIRECT("BP"&amp;$A$5-1&amp;"!P40")*(1+$K$7),0)</f>
        <v>0</v>
      </c>
      <c r="Q40" s="326"/>
      <c r="R40" s="117" t="s">
        <v>219</v>
      </c>
    </row>
    <row r="41" spans="1:18" s="2" customFormat="1" ht="14.25" customHeight="1" thickBot="1">
      <c r="A41" s="163"/>
      <c r="B41" s="180" t="s">
        <v>90</v>
      </c>
      <c r="C41" s="164"/>
      <c r="D41" s="158"/>
      <c r="E41" s="158"/>
      <c r="F41" s="158"/>
      <c r="G41" s="158"/>
      <c r="H41" s="165"/>
      <c r="I41" s="166"/>
      <c r="J41" s="164"/>
      <c r="K41" s="752">
        <f>IF($A$5&lt;=$K$5,SUM(K30:K40),0)</f>
        <v>0</v>
      </c>
      <c r="L41" s="753"/>
      <c r="M41" s="231"/>
      <c r="N41" s="767">
        <f ca="1">SUM(N30:N40)</f>
        <v>0</v>
      </c>
      <c r="O41" s="772"/>
      <c r="R41" s="117" t="s">
        <v>219</v>
      </c>
    </row>
    <row r="42" spans="1:18" s="2" customFormat="1" ht="14.25" customHeight="1" thickBot="1">
      <c r="A42" s="185" t="s">
        <v>91</v>
      </c>
      <c r="B42" s="164"/>
      <c r="C42" s="164"/>
      <c r="D42" s="156"/>
      <c r="E42" s="156"/>
      <c r="F42" s="167"/>
      <c r="G42" s="168"/>
      <c r="H42" s="169"/>
      <c r="I42" s="166"/>
      <c r="J42" s="164"/>
      <c r="K42" s="752">
        <f>IF($A$5&lt;=$K$5,SUM(L30:L40),0)</f>
        <v>0</v>
      </c>
      <c r="L42" s="753"/>
      <c r="M42" s="231"/>
      <c r="N42" s="767">
        <f ca="1">SUM(O30:O40)</f>
        <v>0</v>
      </c>
      <c r="O42" s="772"/>
      <c r="R42" s="117" t="s">
        <v>219</v>
      </c>
    </row>
    <row r="43" spans="1:18" s="2" customFormat="1" ht="14.25" customHeight="1" thickBot="1">
      <c r="A43" s="148"/>
      <c r="B43" s="186" t="s">
        <v>206</v>
      </c>
      <c r="C43" s="149"/>
      <c r="D43" s="150"/>
      <c r="E43" s="150"/>
      <c r="F43" s="150"/>
      <c r="G43" s="150"/>
      <c r="H43" s="149"/>
      <c r="I43" s="149"/>
      <c r="J43" s="149"/>
      <c r="K43" s="752">
        <f>IF($A$5&lt;=$K$5,SUM(K41:K42),0)</f>
        <v>0</v>
      </c>
      <c r="L43" s="753"/>
      <c r="M43" s="231"/>
      <c r="N43" s="767">
        <f ca="1">SUM(N41:N42)</f>
        <v>0</v>
      </c>
      <c r="O43" s="772"/>
      <c r="R43" s="117" t="s">
        <v>219</v>
      </c>
    </row>
    <row r="44" spans="1:18" s="2" customFormat="1" ht="14.25" customHeight="1" thickBot="1">
      <c r="A44" s="183" t="s">
        <v>207</v>
      </c>
      <c r="B44" s="144"/>
      <c r="C44" s="144"/>
      <c r="D44" s="145"/>
      <c r="E44" s="145"/>
      <c r="F44" s="145"/>
      <c r="G44" s="145"/>
      <c r="H44" s="144"/>
      <c r="I44" s="159"/>
      <c r="J44" s="144"/>
      <c r="K44" s="20"/>
      <c r="L44" s="21"/>
      <c r="M44" s="231"/>
      <c r="N44" s="28"/>
      <c r="O44" s="29"/>
      <c r="R44" s="117" t="s">
        <v>219</v>
      </c>
    </row>
    <row r="45" spans="1:18" s="2" customFormat="1" ht="14.25" customHeight="1" thickBot="1">
      <c r="A45" s="162"/>
      <c r="B45" s="833"/>
      <c r="C45" s="834"/>
      <c r="D45" s="834"/>
      <c r="E45" s="834"/>
      <c r="F45" s="835"/>
      <c r="G45" s="160"/>
      <c r="H45" s="160"/>
      <c r="I45" s="187" t="s">
        <v>160</v>
      </c>
      <c r="J45" s="161"/>
      <c r="K45" s="861"/>
      <c r="L45" s="862"/>
      <c r="M45" s="231"/>
      <c r="N45" s="676"/>
      <c r="O45" s="677"/>
      <c r="R45" s="117" t="s">
        <v>219</v>
      </c>
    </row>
    <row r="46" spans="1:18" s="2" customFormat="1" ht="14.25" hidden="1" customHeight="1" thickBot="1">
      <c r="A46" s="162"/>
      <c r="B46" s="833"/>
      <c r="C46" s="834"/>
      <c r="D46" s="834"/>
      <c r="E46" s="834"/>
      <c r="F46" s="835"/>
      <c r="G46" s="160"/>
      <c r="H46" s="160"/>
      <c r="I46" s="187" t="s">
        <v>161</v>
      </c>
      <c r="J46" s="161"/>
      <c r="K46" s="861"/>
      <c r="L46" s="862"/>
      <c r="M46" s="231"/>
      <c r="N46" s="676"/>
      <c r="O46" s="677"/>
      <c r="R46" s="117" t="s">
        <v>487</v>
      </c>
    </row>
    <row r="47" spans="1:18" s="2" customFormat="1" ht="14.25" hidden="1" customHeight="1" thickBot="1">
      <c r="A47" s="162"/>
      <c r="B47" s="833"/>
      <c r="C47" s="834"/>
      <c r="D47" s="834"/>
      <c r="E47" s="834"/>
      <c r="F47" s="835"/>
      <c r="G47" s="160"/>
      <c r="H47" s="160"/>
      <c r="I47" s="187" t="s">
        <v>162</v>
      </c>
      <c r="J47" s="161"/>
      <c r="K47" s="861"/>
      <c r="L47" s="862"/>
      <c r="M47" s="231"/>
      <c r="N47" s="676"/>
      <c r="O47" s="677"/>
      <c r="R47" s="117" t="s">
        <v>487</v>
      </c>
    </row>
    <row r="48" spans="1:18" s="2" customFormat="1" ht="14.25" hidden="1" customHeight="1" thickBot="1">
      <c r="A48" s="162"/>
      <c r="B48" s="833"/>
      <c r="C48" s="834"/>
      <c r="D48" s="834"/>
      <c r="E48" s="834"/>
      <c r="F48" s="835"/>
      <c r="G48" s="160"/>
      <c r="H48" s="160"/>
      <c r="I48" s="187" t="s">
        <v>163</v>
      </c>
      <c r="J48" s="161"/>
      <c r="K48" s="861"/>
      <c r="L48" s="862"/>
      <c r="M48" s="231"/>
      <c r="N48" s="676"/>
      <c r="O48" s="677"/>
      <c r="R48" s="117" t="s">
        <v>487</v>
      </c>
    </row>
    <row r="49" spans="1:18" s="2" customFormat="1" ht="14.25" hidden="1" customHeight="1" thickBot="1">
      <c r="A49" s="162"/>
      <c r="B49" s="833"/>
      <c r="C49" s="834"/>
      <c r="D49" s="834"/>
      <c r="E49" s="834"/>
      <c r="F49" s="835"/>
      <c r="G49" s="160"/>
      <c r="H49" s="160"/>
      <c r="I49" s="187" t="s">
        <v>164</v>
      </c>
      <c r="J49" s="161"/>
      <c r="K49" s="861"/>
      <c r="L49" s="862"/>
      <c r="M49" s="231"/>
      <c r="N49" s="676"/>
      <c r="O49" s="677"/>
      <c r="R49" s="117" t="s">
        <v>487</v>
      </c>
    </row>
    <row r="50" spans="1:18" s="2" customFormat="1" ht="14.25" customHeight="1" thickBot="1">
      <c r="A50" s="154"/>
      <c r="B50" s="178" t="s">
        <v>208</v>
      </c>
      <c r="C50" s="155"/>
      <c r="D50" s="147"/>
      <c r="E50" s="147"/>
      <c r="F50" s="147"/>
      <c r="G50" s="147"/>
      <c r="H50" s="147"/>
      <c r="I50" s="147"/>
      <c r="J50" s="147"/>
      <c r="K50" s="762">
        <f>SUM(K45:K49)</f>
        <v>0</v>
      </c>
      <c r="L50" s="753"/>
      <c r="M50" s="231"/>
      <c r="N50" s="798">
        <f>SUM(N45:N49)</f>
        <v>0</v>
      </c>
      <c r="O50" s="799"/>
      <c r="R50" s="117" t="s">
        <v>219</v>
      </c>
    </row>
    <row r="51" spans="1:18" s="2" customFormat="1" ht="14.25" customHeight="1">
      <c r="A51" s="188" t="s">
        <v>209</v>
      </c>
      <c r="B51" s="186"/>
      <c r="C51" s="186"/>
      <c r="D51" s="189"/>
      <c r="E51" s="189"/>
      <c r="F51" s="190"/>
      <c r="G51" s="368" t="s">
        <v>458</v>
      </c>
      <c r="H51" s="758" t="s">
        <v>92</v>
      </c>
      <c r="I51" s="759"/>
      <c r="J51" s="759"/>
      <c r="K51" s="754">
        <f>IF($A$5&lt;=$K$5,(IF(SUM('Travel Calculator'!$L$14:$M$14)&gt;0,('Travel Calculator'!$L$11*(1-'Travel Calculator'!$N$4)),'BP2'!$K$51)),)</f>
        <v>0</v>
      </c>
      <c r="L51" s="755"/>
      <c r="M51" s="231"/>
      <c r="N51" s="754">
        <f>IF($A$5&lt;=$K$5,(IF(SUM('Travel Calculator'!$L$14:$M$14)&gt;0,('Travel Calculator'!$L$11*('Travel Calculator'!$N$4)),'BP2'!$N$51)),)</f>
        <v>0</v>
      </c>
      <c r="O51" s="755"/>
      <c r="R51" s="117" t="s">
        <v>219</v>
      </c>
    </row>
    <row r="52" spans="1:18" s="2" customFormat="1" ht="14.25" customHeight="1" thickBot="1">
      <c r="A52" s="188"/>
      <c r="B52" s="186"/>
      <c r="C52" s="186"/>
      <c r="D52" s="189"/>
      <c r="E52" s="189"/>
      <c r="F52" s="366"/>
      <c r="G52" s="368" t="s">
        <v>459</v>
      </c>
      <c r="H52" s="758" t="s">
        <v>93</v>
      </c>
      <c r="I52" s="759"/>
      <c r="J52" s="759"/>
      <c r="K52" s="764">
        <f>IF($A$5&lt;=$K$5,(IF(SUM('Travel Calculator'!$L$14:$M$14)&gt;0,('Travel Calculator'!$M$11*(1-'Travel Calculator'!$N$4)),'BP2'!$K$52)),)</f>
        <v>0</v>
      </c>
      <c r="L52" s="765"/>
      <c r="M52" s="231"/>
      <c r="N52" s="764">
        <f>IF($A$5&lt;=$K$5,(IF(SUM('Travel Calculator'!$L$14:$M$14)&gt;0,('Travel Calculator'!$M$11*('Travel Calculator'!$N$4)),'BP2'!$N$52)),)</f>
        <v>0</v>
      </c>
      <c r="O52" s="765"/>
      <c r="R52" s="117" t="s">
        <v>219</v>
      </c>
    </row>
    <row r="53" spans="1:18" s="2" customFormat="1" ht="14.25" customHeight="1" thickBot="1">
      <c r="A53" s="172"/>
      <c r="B53" s="178"/>
      <c r="C53" s="178"/>
      <c r="D53" s="192"/>
      <c r="E53" s="192"/>
      <c r="F53" s="192"/>
      <c r="G53" s="192"/>
      <c r="H53" s="760" t="s">
        <v>108</v>
      </c>
      <c r="I53" s="760"/>
      <c r="J53" s="761"/>
      <c r="K53" s="752">
        <f>IF($A$5&lt;=$K$5,K51+K52,0)</f>
        <v>0</v>
      </c>
      <c r="L53" s="753"/>
      <c r="M53" s="231"/>
      <c r="N53" s="767">
        <f>N51+N52</f>
        <v>0</v>
      </c>
      <c r="O53" s="772"/>
      <c r="R53" s="117" t="s">
        <v>219</v>
      </c>
    </row>
    <row r="54" spans="1:18" s="2" customFormat="1" ht="14.25" customHeight="1">
      <c r="A54" s="188" t="s">
        <v>210</v>
      </c>
      <c r="B54" s="186"/>
      <c r="C54" s="186"/>
      <c r="D54" s="189"/>
      <c r="E54" s="189"/>
      <c r="F54" s="189"/>
      <c r="G54" s="189"/>
      <c r="H54" s="186"/>
      <c r="I54" s="193"/>
      <c r="J54" s="186"/>
      <c r="K54" s="22"/>
      <c r="L54" s="23"/>
      <c r="M54" s="231"/>
      <c r="N54" s="30"/>
      <c r="O54" s="31"/>
      <c r="R54" s="117" t="s">
        <v>219</v>
      </c>
    </row>
    <row r="55" spans="1:18" s="2" customFormat="1" ht="14.25" customHeight="1">
      <c r="A55" s="188"/>
      <c r="B55" s="194">
        <v>1</v>
      </c>
      <c r="C55" s="680" t="str">
        <f>'BP1'!C55</f>
        <v>Materials and Supplies</v>
      </c>
      <c r="D55" s="680"/>
      <c r="E55" s="680"/>
      <c r="F55" s="680"/>
      <c r="G55" s="680"/>
      <c r="H55" s="680"/>
      <c r="I55" s="680"/>
      <c r="J55" s="758"/>
      <c r="K55" s="861">
        <f>IF($A$5&lt;=$K$5,'BP2'!K55,0)</f>
        <v>0</v>
      </c>
      <c r="L55" s="862"/>
      <c r="M55" s="231"/>
      <c r="N55" s="676">
        <f>IF($A$5&lt;='BP1'!$K$5,'BP2'!N55,0)</f>
        <v>0</v>
      </c>
      <c r="O55" s="677"/>
      <c r="R55" s="117" t="s">
        <v>219</v>
      </c>
    </row>
    <row r="56" spans="1:18" s="2" customFormat="1" ht="14.25" customHeight="1">
      <c r="A56" s="188"/>
      <c r="B56" s="194">
        <v>2</v>
      </c>
      <c r="C56" s="680" t="str">
        <f>'BP1'!C56</f>
        <v>Publication Costs</v>
      </c>
      <c r="D56" s="680"/>
      <c r="E56" s="680"/>
      <c r="F56" s="680"/>
      <c r="G56" s="680"/>
      <c r="H56" s="680"/>
      <c r="I56" s="680"/>
      <c r="J56" s="758"/>
      <c r="K56" s="861">
        <f>IF($A$5&lt;=$K$5,'BP2'!K56,0)</f>
        <v>0</v>
      </c>
      <c r="L56" s="862"/>
      <c r="M56" s="231"/>
      <c r="N56" s="676">
        <f>IF($A$5&lt;='BP1'!$K$5,'BP2'!N56,0)</f>
        <v>0</v>
      </c>
      <c r="O56" s="677"/>
      <c r="R56" s="117" t="s">
        <v>219</v>
      </c>
    </row>
    <row r="57" spans="1:18" s="2" customFormat="1" ht="14.25" customHeight="1">
      <c r="A57" s="188"/>
      <c r="B57" s="194">
        <v>3</v>
      </c>
      <c r="C57" s="680" t="str">
        <f>'BP1'!C57</f>
        <v>Consultant Services</v>
      </c>
      <c r="D57" s="680"/>
      <c r="E57" s="680"/>
      <c r="F57" s="680"/>
      <c r="G57" s="680"/>
      <c r="H57" s="680"/>
      <c r="I57" s="680"/>
      <c r="J57" s="758"/>
      <c r="K57" s="861">
        <f>IF($A$5&lt;=$K$5,'BP2'!K57,0)</f>
        <v>0</v>
      </c>
      <c r="L57" s="862"/>
      <c r="M57" s="231"/>
      <c r="N57" s="676">
        <f>IF($A$5&lt;='BP1'!$K$5,'BP2'!N57,0)</f>
        <v>0</v>
      </c>
      <c r="O57" s="677"/>
      <c r="R57" s="117" t="s">
        <v>219</v>
      </c>
    </row>
    <row r="58" spans="1:18" s="2" customFormat="1" ht="14.25" customHeight="1">
      <c r="A58" s="188"/>
      <c r="B58" s="194">
        <v>4</v>
      </c>
      <c r="C58" s="680" t="str">
        <f>'BP1'!C58</f>
        <v>Computer Services</v>
      </c>
      <c r="D58" s="680"/>
      <c r="E58" s="680"/>
      <c r="F58" s="680"/>
      <c r="G58" s="680"/>
      <c r="H58" s="680"/>
      <c r="I58" s="680"/>
      <c r="J58" s="758"/>
      <c r="K58" s="861">
        <f>IF($A$5&lt;=$K$5,'BP2'!K58,0)</f>
        <v>0</v>
      </c>
      <c r="L58" s="862"/>
      <c r="M58" s="231"/>
      <c r="N58" s="676">
        <f>IF($A$5&lt;='BP1'!$K$5,'BP2'!N58,0)</f>
        <v>0</v>
      </c>
      <c r="O58" s="677"/>
      <c r="R58" s="117" t="s">
        <v>219</v>
      </c>
    </row>
    <row r="59" spans="1:18" s="2" customFormat="1" ht="14.25" customHeight="1">
      <c r="A59" s="188"/>
      <c r="B59" s="194">
        <v>5</v>
      </c>
      <c r="C59" s="680" t="s">
        <v>215</v>
      </c>
      <c r="D59" s="680"/>
      <c r="E59" s="680"/>
      <c r="F59" s="680"/>
      <c r="G59" s="680"/>
      <c r="H59" s="680"/>
      <c r="I59" s="680"/>
      <c r="J59" s="758"/>
      <c r="K59" s="863">
        <f>IF($A$5&lt;=$K$5,SUM((H38/12)*LOOKUP(K8,Lists!A2:A812,Lists!K2:K812)),0)</f>
        <v>0</v>
      </c>
      <c r="L59" s="863"/>
      <c r="M59" s="231"/>
      <c r="N59" s="817">
        <f>IF($A$5&lt;='BP1'!$K$5,SUM((M38/12)*LOOKUP(K8,Lists!A2:A812,Lists!K2:K812)),0)</f>
        <v>0</v>
      </c>
      <c r="O59" s="836"/>
      <c r="P59" s="5"/>
      <c r="Q59" s="5"/>
      <c r="R59" s="117" t="s">
        <v>219</v>
      </c>
    </row>
    <row r="60" spans="1:18" s="2" customFormat="1" ht="14.25" customHeight="1">
      <c r="A60" s="188"/>
      <c r="B60" s="194">
        <v>6</v>
      </c>
      <c r="C60" s="680" t="str">
        <f>'BP1'!C60</f>
        <v>MTDC Other</v>
      </c>
      <c r="D60" s="680"/>
      <c r="E60" s="680"/>
      <c r="F60" s="680"/>
      <c r="G60" s="680"/>
      <c r="H60" s="680"/>
      <c r="I60" s="680"/>
      <c r="J60" s="758"/>
      <c r="K60" s="819">
        <f>IF($A$5&lt;=$K$5,'BP2'!K60,0)</f>
        <v>0</v>
      </c>
      <c r="L60" s="819"/>
      <c r="M60" s="231"/>
      <c r="N60" s="676">
        <f>IF($A$5&lt;='BP1'!$K$5,'BP2'!N60,0)</f>
        <v>0</v>
      </c>
      <c r="O60" s="677"/>
      <c r="P60" s="5"/>
      <c r="Q60" s="5"/>
      <c r="R60" s="117" t="s">
        <v>219</v>
      </c>
    </row>
    <row r="61" spans="1:18" s="2" customFormat="1" ht="14.25" customHeight="1" thickBot="1">
      <c r="A61" s="188"/>
      <c r="B61" s="194">
        <v>7</v>
      </c>
      <c r="C61" s="680" t="str">
        <f>'BP1'!C61</f>
        <v>Non-MTDC Other (no indirect costs)</v>
      </c>
      <c r="D61" s="680"/>
      <c r="E61" s="680"/>
      <c r="F61" s="680"/>
      <c r="G61" s="680"/>
      <c r="H61" s="680"/>
      <c r="I61" s="680"/>
      <c r="J61" s="758"/>
      <c r="K61" s="861">
        <f>IF($A$5&lt;=$K$5,'BP2'!K61,0)</f>
        <v>0</v>
      </c>
      <c r="L61" s="862"/>
      <c r="M61" s="231"/>
      <c r="N61" s="676">
        <f>IF($A$5&lt;='BP1'!$K$5,'BP2'!N61,0)</f>
        <v>0</v>
      </c>
      <c r="O61" s="677"/>
      <c r="P61" s="195" t="s">
        <v>147</v>
      </c>
      <c r="Q61" s="328"/>
      <c r="R61" s="117" t="s">
        <v>219</v>
      </c>
    </row>
    <row r="62" spans="1:18" s="2" customFormat="1" ht="14.25" customHeight="1" thickBot="1">
      <c r="A62" s="148"/>
      <c r="B62" s="213">
        <v>8</v>
      </c>
      <c r="C62" s="680" t="s">
        <v>566</v>
      </c>
      <c r="D62" s="680"/>
      <c r="E62" s="678" t="s">
        <v>292</v>
      </c>
      <c r="F62" s="679"/>
      <c r="G62" s="667">
        <f>'Subaward Calculator'!B8</f>
        <v>0</v>
      </c>
      <c r="H62" s="668"/>
      <c r="I62" s="669"/>
      <c r="J62" s="256">
        <f>IF('BP2'!K62+'BP1'!K62&lt;25000,25000-('BP2'!K62+'BP1'!K62),0)</f>
        <v>25000</v>
      </c>
      <c r="K62" s="670">
        <f>IF(AND(SUM('BP2'!K62)&gt;0,'Subaward Calculator'!AD9=0,'BP1'!K5&gt;2),'BP2'!K62,'Subaward Calculator'!O9)</f>
        <v>0</v>
      </c>
      <c r="L62" s="671"/>
      <c r="M62" s="231"/>
      <c r="N62" s="822">
        <f>IF(AND(SUM('BP2'!N62)&gt;0,'Subaward Calculator'!AF9=0,'BP1'!K5&gt;2),'BP2'!N62,'Subaward Calculator'!Q9)</f>
        <v>0</v>
      </c>
      <c r="O62" s="823"/>
      <c r="P62" s="486">
        <f>'Subaward Calculator'!B9</f>
        <v>0</v>
      </c>
      <c r="Q62" s="334"/>
      <c r="R62" s="117" t="s">
        <v>219</v>
      </c>
    </row>
    <row r="63" spans="1:18" s="2" customFormat="1" ht="14.25" hidden="1" customHeight="1" thickBot="1">
      <c r="A63" s="188"/>
      <c r="B63" s="213"/>
      <c r="C63" s="680" t="s">
        <v>567</v>
      </c>
      <c r="D63" s="680"/>
      <c r="E63" s="678" t="s">
        <v>292</v>
      </c>
      <c r="F63" s="679"/>
      <c r="G63" s="667">
        <f>'Subaward Calculator'!B11</f>
        <v>0</v>
      </c>
      <c r="H63" s="668"/>
      <c r="I63" s="669"/>
      <c r="J63" s="256">
        <f>IF('BP2'!K63+'BP1'!K63&lt;25000,25000-('BP2'!K63+'BP1'!K63),0)</f>
        <v>25000</v>
      </c>
      <c r="K63" s="670">
        <f>IF(AND(SUM('BP2'!K63)&gt;0,'Subaward Calculator'!AD12=0,'BP1'!K5&gt;2),'BP2'!K63,'Subaward Calculator'!O12)</f>
        <v>0</v>
      </c>
      <c r="L63" s="671"/>
      <c r="M63" s="231"/>
      <c r="N63" s="822">
        <f>IF(AND(SUM('BP2'!N63)&gt;0,'Subaward Calculator'!AF12=0,'BP1'!K5&gt;2),'BP2'!N63,'Subaward Calculator'!Q12)</f>
        <v>0</v>
      </c>
      <c r="O63" s="823"/>
      <c r="P63" s="486">
        <f>'Subaward Calculator'!B12</f>
        <v>0</v>
      </c>
      <c r="Q63" s="334"/>
      <c r="R63" s="117" t="s">
        <v>222</v>
      </c>
    </row>
    <row r="64" spans="1:18" s="2" customFormat="1" ht="14.25" hidden="1" customHeight="1" thickBot="1">
      <c r="A64" s="148"/>
      <c r="B64" s="213"/>
      <c r="C64" s="680" t="s">
        <v>568</v>
      </c>
      <c r="D64" s="680"/>
      <c r="E64" s="678" t="s">
        <v>292</v>
      </c>
      <c r="F64" s="679"/>
      <c r="G64" s="667">
        <f>'Subaward Calculator'!B14</f>
        <v>0</v>
      </c>
      <c r="H64" s="668"/>
      <c r="I64" s="669"/>
      <c r="J64" s="256">
        <f>IF('BP2'!K64+'BP1'!K64&lt;25000,25000-('BP2'!K64+'BP1'!K64),0)</f>
        <v>25000</v>
      </c>
      <c r="K64" s="670">
        <f>IF(AND(SUM('BP2'!K64)&gt;0,'Subaward Calculator'!AD15=0,'BP1'!K5&gt;2),'BP2'!K64,'Subaward Calculator'!O15)</f>
        <v>0</v>
      </c>
      <c r="L64" s="671"/>
      <c r="M64" s="231"/>
      <c r="N64" s="822">
        <f>IF(AND(SUM('BP2'!N64)&gt;0,'Subaward Calculator'!AF15=0,'BP1'!K5&gt;2),'BP2'!N64,'Subaward Calculator'!Q15)</f>
        <v>0</v>
      </c>
      <c r="O64" s="823"/>
      <c r="P64" s="486">
        <f>'Subaward Calculator'!B15</f>
        <v>0</v>
      </c>
      <c r="Q64" s="334"/>
      <c r="R64" s="117" t="s">
        <v>222</v>
      </c>
    </row>
    <row r="65" spans="1:18" s="2" customFormat="1" ht="14.25" hidden="1" customHeight="1" thickBot="1">
      <c r="A65" s="148"/>
      <c r="B65" s="213"/>
      <c r="C65" s="680" t="s">
        <v>569</v>
      </c>
      <c r="D65" s="680"/>
      <c r="E65" s="678" t="s">
        <v>292</v>
      </c>
      <c r="F65" s="679"/>
      <c r="G65" s="667">
        <f>'Subaward Calculator'!B17</f>
        <v>0</v>
      </c>
      <c r="H65" s="668"/>
      <c r="I65" s="669"/>
      <c r="J65" s="256">
        <f>IF('BP2'!$K$65+'BP1'!$K$65&lt;25000,25000-('BP2'!$K$65+'BP1'!$K$65),0)</f>
        <v>25000</v>
      </c>
      <c r="K65" s="670">
        <f>IF(AND(SUM('BP2'!K65)&gt;0,'Subaward Calculator'!AD18=0,'BP1'!K5&gt;2),'BP2'!K65,'Subaward Calculator'!O18)</f>
        <v>0</v>
      </c>
      <c r="L65" s="671"/>
      <c r="M65" s="231"/>
      <c r="N65" s="822">
        <f>IF(AND(SUM('BP2'!N65)&gt;0,'Subaward Calculator'!AF18=0,'BP1'!K5&gt;2),'BP2'!N65,'Subaward Calculator'!Q18)</f>
        <v>0</v>
      </c>
      <c r="O65" s="823"/>
      <c r="P65" s="486">
        <f>'Subaward Calculator'!B18</f>
        <v>0</v>
      </c>
      <c r="Q65" s="334"/>
      <c r="R65" s="117" t="s">
        <v>222</v>
      </c>
    </row>
    <row r="66" spans="1:18" s="2" customFormat="1" ht="14.25" hidden="1" customHeight="1" thickBot="1">
      <c r="A66" s="148"/>
      <c r="B66" s="213"/>
      <c r="C66" s="680" t="s">
        <v>570</v>
      </c>
      <c r="D66" s="680"/>
      <c r="E66" s="678" t="s">
        <v>292</v>
      </c>
      <c r="F66" s="679"/>
      <c r="G66" s="667">
        <f>'Subaward Calculator'!B20</f>
        <v>0</v>
      </c>
      <c r="H66" s="668"/>
      <c r="I66" s="669"/>
      <c r="J66" s="256">
        <f>IF('BP2'!$K$66+'BP1'!$K$66&lt;25000,25000-('BP2'!$K$66+'BP1'!$K$66),0)</f>
        <v>25000</v>
      </c>
      <c r="K66" s="670">
        <f>IF(AND(SUM('BP2'!K66)&gt;0,'Subaward Calculator'!AD21=0,'BP1'!K5&gt;2),'BP2'!K66,'Subaward Calculator'!O21)</f>
        <v>0</v>
      </c>
      <c r="L66" s="671"/>
      <c r="M66" s="231"/>
      <c r="N66" s="822">
        <f>IF(AND(SUM('BP2'!N66)&gt;0,'Subaward Calculator'!AF21=0,'BP1'!K5&gt;2),'BP2'!N66,'Subaward Calculator'!Q21)</f>
        <v>0</v>
      </c>
      <c r="O66" s="823"/>
      <c r="P66" s="486">
        <f>'Subaward Calculator'!B21</f>
        <v>0</v>
      </c>
      <c r="Q66" s="334"/>
      <c r="R66" s="117" t="s">
        <v>222</v>
      </c>
    </row>
    <row r="67" spans="1:18" s="2" customFormat="1" ht="14.25" hidden="1" customHeight="1" thickBot="1">
      <c r="A67" s="148"/>
      <c r="B67" s="213"/>
      <c r="C67" s="680" t="s">
        <v>571</v>
      </c>
      <c r="D67" s="680"/>
      <c r="E67" s="678" t="s">
        <v>292</v>
      </c>
      <c r="F67" s="679"/>
      <c r="G67" s="667">
        <f>'Subaward Calculator'!B23</f>
        <v>0</v>
      </c>
      <c r="H67" s="668"/>
      <c r="I67" s="669"/>
      <c r="J67" s="256">
        <f>IF('BP2'!$K$67+'BP1'!$K$67&lt;25000,25000-('BP2'!$K$67+'BP1'!$K$67),0)</f>
        <v>25000</v>
      </c>
      <c r="K67" s="670">
        <f>IF(AND(SUM('BP2'!K67)&gt;0,'Subaward Calculator'!AD24=0,'BP1'!K5&gt;2),'BP2'!K67,'Subaward Calculator'!O24)</f>
        <v>0</v>
      </c>
      <c r="L67" s="671"/>
      <c r="M67" s="231"/>
      <c r="N67" s="822">
        <f>IF(AND(SUM('BP2'!N67)&gt;0,'Subaward Calculator'!AF24=0,'BP1'!K5&gt;2),'BP2'!N67,'Subaward Calculator'!Q24)</f>
        <v>0</v>
      </c>
      <c r="O67" s="823"/>
      <c r="P67" s="486">
        <f>'Subaward Calculator'!B24</f>
        <v>0</v>
      </c>
      <c r="Q67" s="334"/>
      <c r="R67" s="117" t="s">
        <v>222</v>
      </c>
    </row>
    <row r="68" spans="1:18" s="2" customFormat="1" ht="14.25" hidden="1" customHeight="1" thickBot="1">
      <c r="A68" s="148"/>
      <c r="B68" s="213"/>
      <c r="C68" s="680" t="s">
        <v>572</v>
      </c>
      <c r="D68" s="680"/>
      <c r="E68" s="678" t="s">
        <v>292</v>
      </c>
      <c r="F68" s="679"/>
      <c r="G68" s="667">
        <f>'Subaward Calculator'!B26</f>
        <v>0</v>
      </c>
      <c r="H68" s="668"/>
      <c r="I68" s="669"/>
      <c r="J68" s="256">
        <f>IF('BP2'!$K$68+'BP1'!$K$68&lt;25000,25000-('BP2'!$K$68+'BP1'!$K$68),0)</f>
        <v>25000</v>
      </c>
      <c r="K68" s="670">
        <f>IF(AND(SUM('BP2'!K68)&gt;0,'Subaward Calculator'!AD27=0,'BP1'!K5&gt;2),'BP2'!K68,'Subaward Calculator'!O27)</f>
        <v>0</v>
      </c>
      <c r="L68" s="671"/>
      <c r="M68" s="231"/>
      <c r="N68" s="822">
        <f>IF(AND(SUM('BP2'!N68)&gt;0,'Subaward Calculator'!AF27=0,'BP1'!K5&gt;2),'BP2'!N68,'Subaward Calculator'!Q27)</f>
        <v>0</v>
      </c>
      <c r="O68" s="823"/>
      <c r="P68" s="486">
        <f>'Subaward Calculator'!B27</f>
        <v>0</v>
      </c>
      <c r="Q68" s="334"/>
      <c r="R68" s="117" t="s">
        <v>223</v>
      </c>
    </row>
    <row r="69" spans="1:18" s="2" customFormat="1" ht="14.25" hidden="1" customHeight="1" thickBot="1">
      <c r="A69" s="148"/>
      <c r="B69" s="213"/>
      <c r="C69" s="680" t="s">
        <v>573</v>
      </c>
      <c r="D69" s="680"/>
      <c r="E69" s="678" t="s">
        <v>292</v>
      </c>
      <c r="F69" s="679"/>
      <c r="G69" s="667">
        <f>'Subaward Calculator'!B29</f>
        <v>0</v>
      </c>
      <c r="H69" s="668"/>
      <c r="I69" s="669"/>
      <c r="J69" s="256">
        <f>IF('BP2'!$K$69+'BP1'!$K$69&lt;25000,25000-('BP2'!$K$69+'BP1'!$K$69),0)</f>
        <v>25000</v>
      </c>
      <c r="K69" s="670">
        <f>IF(AND(SUM('BP2'!K69)&gt;0,'Subaward Calculator'!AD30=0,'BP1'!K5&gt;2),'BP2'!K69,'Subaward Calculator'!O30)</f>
        <v>0</v>
      </c>
      <c r="L69" s="671"/>
      <c r="M69" s="231"/>
      <c r="N69" s="822">
        <f>IF(AND(SUM('BP2'!N69)&gt;0,'Subaward Calculator'!AF30=0,'BP1'!K5&gt;2),'BP2'!N69,'Subaward Calculator'!Q30)</f>
        <v>0</v>
      </c>
      <c r="O69" s="823"/>
      <c r="P69" s="486">
        <f>'Subaward Calculator'!B30</f>
        <v>0</v>
      </c>
      <c r="Q69" s="334"/>
      <c r="R69" s="117" t="s">
        <v>223</v>
      </c>
    </row>
    <row r="70" spans="1:18" s="2" customFormat="1" ht="14.25" hidden="1" customHeight="1" thickBot="1">
      <c r="A70" s="148"/>
      <c r="B70" s="213"/>
      <c r="C70" s="680" t="s">
        <v>574</v>
      </c>
      <c r="D70" s="680"/>
      <c r="E70" s="678" t="s">
        <v>292</v>
      </c>
      <c r="F70" s="679"/>
      <c r="G70" s="667">
        <f>'Subaward Calculator'!B32</f>
        <v>0</v>
      </c>
      <c r="H70" s="668"/>
      <c r="I70" s="669"/>
      <c r="J70" s="256">
        <f>IF('BP2'!$K$70+'BP1'!$K$70&lt;25000,25000-('BP2'!$K$70+'BP1'!$K$70),0)</f>
        <v>25000</v>
      </c>
      <c r="K70" s="670">
        <f>IF(AND(SUM('BP2'!K70)&gt;0,'Subaward Calculator'!AD33=0,'BP1'!K5&gt;2),'BP2'!K70,'Subaward Calculator'!O33)</f>
        <v>0</v>
      </c>
      <c r="L70" s="671"/>
      <c r="M70" s="231"/>
      <c r="N70" s="822">
        <f>IF(AND(SUM('BP2'!N70)&gt;0,'Subaward Calculator'!AF33=0,'BP1'!K5&gt;2),'BP2'!N70,'Subaward Calculator'!Q33)</f>
        <v>0</v>
      </c>
      <c r="O70" s="823"/>
      <c r="P70" s="486">
        <f>'Subaward Calculator'!B33</f>
        <v>0</v>
      </c>
      <c r="Q70" s="334"/>
      <c r="R70" s="117" t="s">
        <v>223</v>
      </c>
    </row>
    <row r="71" spans="1:18" s="2" customFormat="1" ht="14.25" hidden="1" customHeight="1" thickBot="1">
      <c r="A71" s="148"/>
      <c r="B71" s="213"/>
      <c r="C71" s="680" t="s">
        <v>575</v>
      </c>
      <c r="D71" s="680"/>
      <c r="E71" s="678" t="s">
        <v>292</v>
      </c>
      <c r="F71" s="679"/>
      <c r="G71" s="667">
        <f>'Subaward Calculator'!B35</f>
        <v>0</v>
      </c>
      <c r="H71" s="668"/>
      <c r="I71" s="669"/>
      <c r="J71" s="256">
        <f>IF('BP2'!$K$71+'BP1'!$K$71&lt;25000,25000-('BP2'!$K$71+'BP1'!$K$71),0)</f>
        <v>25000</v>
      </c>
      <c r="K71" s="670">
        <f>IF(AND(SUM('BP2'!K71)&gt;0,'Subaward Calculator'!AD36=0,'BP1'!K5&gt;2),'BP2'!K71,'Subaward Calculator'!O36)</f>
        <v>0</v>
      </c>
      <c r="L71" s="671"/>
      <c r="M71" s="231"/>
      <c r="N71" s="822">
        <f>IF(AND(SUM('BP2'!N71)&gt;0,'Subaward Calculator'!AF36=0,'BP1'!K5&gt;2),'BP2'!N71,'Subaward Calculator'!Q36)</f>
        <v>0</v>
      </c>
      <c r="O71" s="823"/>
      <c r="P71" s="486">
        <f>'Subaward Calculator'!B36</f>
        <v>0</v>
      </c>
      <c r="Q71" s="334"/>
      <c r="R71" s="117" t="s">
        <v>223</v>
      </c>
    </row>
    <row r="72" spans="1:18" s="2" customFormat="1" ht="14.25" hidden="1" customHeight="1" thickBot="1">
      <c r="A72" s="148"/>
      <c r="B72" s="213"/>
      <c r="C72" s="680" t="s">
        <v>576</v>
      </c>
      <c r="D72" s="680"/>
      <c r="E72" s="678" t="s">
        <v>292</v>
      </c>
      <c r="F72" s="679"/>
      <c r="G72" s="667">
        <f>'Subaward Calculator'!B38</f>
        <v>0</v>
      </c>
      <c r="H72" s="668"/>
      <c r="I72" s="669"/>
      <c r="J72" s="256">
        <f>IF('BP2'!$K$72+'BP1'!$K$72&lt;25000,25000-('BP2'!$K$72+'BP1'!$K$72),0)</f>
        <v>25000</v>
      </c>
      <c r="K72" s="670">
        <f>IF(AND(SUM('BP2'!K72)&gt;0,'Subaward Calculator'!AD39=0,'BP1'!K5&gt;2),'BP2'!K72,'Subaward Calculator'!O39)</f>
        <v>0</v>
      </c>
      <c r="L72" s="671"/>
      <c r="M72" s="231"/>
      <c r="N72" s="822">
        <f>IF(AND(SUM('BP2'!N72)&gt;0,'Subaward Calculator'!AF39=0,'BP1'!K5&gt;2),'BP2'!N72,'Subaward Calculator'!Q39)</f>
        <v>0</v>
      </c>
      <c r="O72" s="823"/>
      <c r="P72" s="486">
        <f>'Subaward Calculator'!B39</f>
        <v>0</v>
      </c>
      <c r="Q72" s="334"/>
      <c r="R72" s="117" t="s">
        <v>223</v>
      </c>
    </row>
    <row r="73" spans="1:18" s="2" customFormat="1" ht="14.25" hidden="1" customHeight="1" thickBot="1">
      <c r="A73" s="148"/>
      <c r="B73" s="213"/>
      <c r="C73" s="680" t="s">
        <v>577</v>
      </c>
      <c r="D73" s="680"/>
      <c r="E73" s="678" t="s">
        <v>292</v>
      </c>
      <c r="F73" s="679"/>
      <c r="G73" s="667">
        <f>'Subaward Calculator'!B41</f>
        <v>0</v>
      </c>
      <c r="H73" s="668"/>
      <c r="I73" s="669"/>
      <c r="J73" s="256">
        <f>IF('BP2'!$K$73+'BP1'!$K$73&lt;25000,25000-('BP2'!$K$73+'BP1'!$K$73),0)</f>
        <v>25000</v>
      </c>
      <c r="K73" s="670">
        <f>IF(AND(SUM('BP2'!K73)&gt;0,'Subaward Calculator'!AD42=0,'BP1'!K5&gt;2),'BP2'!K73,'Subaward Calculator'!O42)</f>
        <v>0</v>
      </c>
      <c r="L73" s="671"/>
      <c r="M73" s="231"/>
      <c r="N73" s="822">
        <f>IF(AND(SUM('BP2'!N73)&gt;0,'Subaward Calculator'!AF42=0,'BP1'!K5&gt;2),'BP2'!N73,'Subaward Calculator'!Q42)</f>
        <v>0</v>
      </c>
      <c r="O73" s="823"/>
      <c r="P73" s="486">
        <f>'Subaward Calculator'!B42</f>
        <v>0</v>
      </c>
      <c r="Q73" s="334"/>
      <c r="R73" s="117" t="s">
        <v>223</v>
      </c>
    </row>
    <row r="74" spans="1:18" s="2" customFormat="1" ht="14.25" customHeight="1" thickBot="1">
      <c r="A74" s="188" t="s">
        <v>94</v>
      </c>
      <c r="B74" s="149"/>
      <c r="C74" s="149"/>
      <c r="D74" s="152"/>
      <c r="E74" s="153"/>
      <c r="F74" s="153"/>
      <c r="G74" s="153"/>
      <c r="H74" s="149"/>
      <c r="I74" s="151"/>
      <c r="J74" s="149"/>
      <c r="K74" s="752">
        <f>IF($A$5&lt;=$K$5,SUM(K55:$K$73),0)</f>
        <v>0</v>
      </c>
      <c r="L74" s="753"/>
      <c r="M74" s="231"/>
      <c r="N74" s="767">
        <f>SUM(N55:N73)</f>
        <v>0</v>
      </c>
      <c r="O74" s="772"/>
      <c r="R74" s="117" t="s">
        <v>219</v>
      </c>
    </row>
    <row r="75" spans="1:18" s="2" customFormat="1" ht="14.25" customHeight="1" thickBot="1">
      <c r="A75" s="188" t="s">
        <v>582</v>
      </c>
      <c r="B75" s="149"/>
      <c r="C75" s="149"/>
      <c r="D75" s="150"/>
      <c r="E75" s="150"/>
      <c r="F75" s="150"/>
      <c r="G75" s="150"/>
      <c r="H75" s="149"/>
      <c r="I75" s="151"/>
      <c r="J75" s="149"/>
      <c r="K75" s="752">
        <f>IF($A$5&lt;=$K$5,SUM(K43+K50+K53+$K$74),0)</f>
        <v>0</v>
      </c>
      <c r="L75" s="753"/>
      <c r="M75" s="231"/>
      <c r="N75" s="767">
        <f ca="1">SUM(N43+N50+N53+N74)</f>
        <v>0</v>
      </c>
      <c r="O75" s="772"/>
      <c r="R75" s="117" t="s">
        <v>219</v>
      </c>
    </row>
    <row r="76" spans="1:18" s="2" customFormat="1" ht="14.25" customHeight="1" thickBot="1">
      <c r="A76" s="188" t="str">
        <f>IF('Appendix C-Grants.gov Form Info'!J1&gt;0,IF(AND(SUM(K62:K73)&gt;0,'Subaward Calculator'!AD46=0),"","     Total NU Direct Costs and Subaward Direct Costs"),"")</f>
        <v/>
      </c>
      <c r="B76" s="149"/>
      <c r="C76" s="149"/>
      <c r="D76" s="150"/>
      <c r="E76" s="150"/>
      <c r="F76" s="150"/>
      <c r="G76" s="150"/>
      <c r="H76" s="149"/>
      <c r="I76" s="151"/>
      <c r="J76" s="149"/>
      <c r="K76" s="752" t="str">
        <f>IF('Appendix C-Grants.gov Form Info'!J1&gt;0,IF(AND(SUM(K62:K73)&gt;0,'Subaward Calculator'!AD46=0),"",IF($A$5&lt;=$K$5,SUM(K43+K50+K53+$K$74),0)-'Subaward Calculator'!O46+'Subaward Calculator'!O44),"")</f>
        <v/>
      </c>
      <c r="L76" s="753"/>
      <c r="M76" s="231"/>
      <c r="N76"/>
      <c r="O76" s="81"/>
      <c r="P76" s="1"/>
      <c r="Q76" s="1"/>
      <c r="R76" s="117" t="s">
        <v>219</v>
      </c>
    </row>
    <row r="77" spans="1:18" s="2" customFormat="1" ht="14.25" customHeight="1">
      <c r="A77" s="183"/>
      <c r="B77" s="191"/>
      <c r="C77" s="191"/>
      <c r="D77" s="191"/>
      <c r="E77" s="145"/>
      <c r="F77" s="372" t="str">
        <f>IF(OR($L$2="No F&amp;A",$L$2="Custom"),"","Current Fiscal Year Base Rate =")</f>
        <v>Current Fiscal Year Base Rate =</v>
      </c>
      <c r="G77" s="816">
        <f>IF($L$2="No F&amp;A",$L$2,IF($L$2="Custom","Enter Custom Rate:",(VLOOKUP((IF($K$8&gt;=DATE(YEAR($K$8),9,1),DATE(YEAR($K$8),9,1),DATE(YEAR($K$8)-1,9,1))),Lists!A:Q,(MATCH('BP1'!$K$2&amp;" "&amp;'BP1'!$L$2,Lists!$M$1:$Q$1,0)+12),1))))</f>
        <v>0.6</v>
      </c>
      <c r="H77" s="816"/>
      <c r="I77" s="756">
        <f ca="1">INDIRECT("BP"&amp;$A$5-1&amp;"!I77")</f>
        <v>0.1</v>
      </c>
      <c r="J77" s="757"/>
      <c r="K77" s="375"/>
      <c r="L77" s="54"/>
      <c r="M77" s="231"/>
      <c r="N77" s="241"/>
      <c r="O77" s="242"/>
      <c r="R77" s="117" t="s">
        <v>219</v>
      </c>
    </row>
    <row r="78" spans="1:18" s="2" customFormat="1" ht="14.25" customHeight="1" thickBot="1">
      <c r="A78" s="792" t="str">
        <f>IF(K3="MTDC","Modified Total Direct Costs (MTDC) Base =","Total Direct Costs (TDC) Base =")</f>
        <v>Modified Total Direct Costs (MTDC) Base =</v>
      </c>
      <c r="B78" s="793"/>
      <c r="C78" s="793"/>
      <c r="D78" s="793"/>
      <c r="E78" s="793"/>
      <c r="F78" s="793"/>
      <c r="G78" s="461">
        <f>IF(K3="MTDC",IF(A5&lt;=K5,K75-K50-K62-K63-K64-$K$65-$K$66-$K$67-$K$68-$K$69-$K$70-$K$71-$K$72-$K$73-K59-K61+IF(J62&lt;K62,J62,K62)+IF(J63&lt;K63,J63,K63)+IF(J64&lt;K64,J64,K64)+IF(J65&lt;$K$65,J65,$K$65)+IF(J66&lt;$K$66,J66,$K$66)+IF(J67&lt;$K$67,J67,$K$67)+IF(J68&lt;$K$68,J68,$K$68)+IF(J69&lt;$K$69,J69,$K$69)+IF(J70&lt;$K$70,J70,$K$70)+IF(J71&lt;$K$71,J71,$K$71)+IF(J72&lt;$K$72,J72,$K$72)+IF(J73&lt;$K$73,J73,$K$73),0),IF(A5&lt;=K5,K75,0))</f>
        <v>0</v>
      </c>
      <c r="H78" s="146"/>
      <c r="I78" s="146"/>
      <c r="J78" s="246"/>
      <c r="K78" s="375"/>
      <c r="L78" s="376"/>
      <c r="M78" s="231"/>
      <c r="N78" s="797" t="s">
        <v>289</v>
      </c>
      <c r="O78" s="797"/>
      <c r="R78" s="117" t="s">
        <v>219</v>
      </c>
    </row>
    <row r="79" spans="1:18" s="2" customFormat="1" ht="14.25" customHeight="1" thickBot="1">
      <c r="A79" s="794">
        <f ca="1">IF(K3="MTDC",IF(G79&gt;0,"Modified Total Direct Costs (MTDC) Cost-Share Base =",),IF(G79&gt;0,"Total Direct Costs (TDC) Cost-Share Base =",))</f>
        <v>0</v>
      </c>
      <c r="B79" s="795"/>
      <c r="C79" s="795"/>
      <c r="D79" s="795"/>
      <c r="E79" s="795"/>
      <c r="F79" s="795"/>
      <c r="G79" s="504">
        <f ca="1">IF(K3="MTDC",IF('BP1'!K5&gt;0,N75-N50-N59-N61-IF(N62="",0,N62)-IF(N63="",0,N63)-IF(N64="",0,N64)-IF(N65="",0,N65)-IF(N66="",0,N66)-IF(N67="",0,N67)-IF(N68="",0,N68)-IF(N69="",0,N69)-IF(N70="",0,N70)-IF(N71="",0,N71)-IF(N72="",0,N72)-IF(N73="",0,N73),0),IF('BP1'!K5&gt;0,N75,0))</f>
        <v>0</v>
      </c>
      <c r="H79" s="796" t="s">
        <v>217</v>
      </c>
      <c r="I79" s="796"/>
      <c r="J79" s="796"/>
      <c r="K79" s="752">
        <f ca="1">IF($L$2="No F&amp;A",0,(IF($L$2="Custom",I77,(AVERAGEIFS(INDIRECT(SUBSTITUTE(SUBSTITUTE(CONCATENATE($K$2,$L$2)," ",""),"-","")),StartDateList,"&gt;="&amp;(DATE(YEAR($K$8),MONTH($K$8),1)),StartDateList,"&lt;="&amp;$K$10))))*G78)</f>
        <v>0</v>
      </c>
      <c r="L79" s="753"/>
      <c r="M79" s="356"/>
      <c r="N79" s="767">
        <f ca="1">IF($L$2="No F&amp;A",0,(IF($L$2="Custom",$I$77,(AVERAGEIFS(INDIRECT(SUBSTITUTE(SUBSTITUTE(CONCATENATE($K$2,$L$2)," ",""),"-","")),StartDateList,"&gt;="&amp;(DATE(YEAR($K$8),MONTH($K$8),1)),StartDateList,"&lt;="&amp;$K$10))))*$G$79)</f>
        <v>0</v>
      </c>
      <c r="O79" s="772"/>
      <c r="R79" s="117" t="s">
        <v>219</v>
      </c>
    </row>
    <row r="80" spans="1:18" s="2" customFormat="1" ht="14.25" customHeight="1" thickBot="1">
      <c r="A80" s="188" t="s">
        <v>96</v>
      </c>
      <c r="B80" s="149"/>
      <c r="C80" s="149"/>
      <c r="D80" s="150"/>
      <c r="E80" s="150"/>
      <c r="F80" s="150"/>
      <c r="G80" s="150"/>
      <c r="H80" s="149"/>
      <c r="I80" s="151"/>
      <c r="J80" s="149"/>
      <c r="K80" s="752">
        <f>IF($A$5&lt;=$K$5,ROUND(K75,0)+ROUND(K79,0),0)</f>
        <v>0</v>
      </c>
      <c r="L80" s="753"/>
      <c r="M80" s="356"/>
      <c r="N80" s="767">
        <f ca="1">ROUND(N75,0)+ROUND(N79,0)</f>
        <v>0</v>
      </c>
      <c r="O80" s="772"/>
      <c r="R80" s="117" t="s">
        <v>219</v>
      </c>
    </row>
    <row r="81" spans="1:18" ht="14.25" customHeight="1" thickBot="1">
      <c r="M81" s="231"/>
      <c r="R81" s="117" t="s">
        <v>219</v>
      </c>
    </row>
    <row r="82" spans="1:18" ht="14.25" customHeight="1" thickBot="1">
      <c r="A82" s="188" t="s">
        <v>584</v>
      </c>
      <c r="B82" s="149"/>
      <c r="C82" s="149"/>
      <c r="D82" s="150"/>
      <c r="E82" s="150"/>
      <c r="F82" s="150"/>
      <c r="G82" s="150"/>
      <c r="H82" s="149"/>
      <c r="I82" s="151"/>
      <c r="J82" s="149"/>
      <c r="K82" s="841">
        <f>'BP1'!K75+'BP2'!K75+'BP3'!K75+'BP4'!K75+'BP5'!K75</f>
        <v>0</v>
      </c>
      <c r="L82" s="841"/>
      <c r="M82" s="231"/>
      <c r="N82" s="767">
        <f ca="1">'BP1'!N75+'BP2'!N75+'BP3'!N75+'BP4'!N75+'BP5'!N75</f>
        <v>0</v>
      </c>
      <c r="O82" s="772"/>
      <c r="R82" s="117" t="s">
        <v>219</v>
      </c>
    </row>
    <row r="83" spans="1:18" ht="14.25" customHeight="1" thickBot="1">
      <c r="A83" s="188" t="str">
        <f>IF(AND(SUM(K62:K73)&gt;0,'Subaward Calculator'!AD46=0),"","     Cumulative Total NU Direct Costs and Subaward Direct Costs")</f>
        <v xml:space="preserve">     Cumulative Total NU Direct Costs and Subaward Direct Costs</v>
      </c>
      <c r="B83" s="149"/>
      <c r="C83" s="149"/>
      <c r="D83" s="150"/>
      <c r="E83" s="150"/>
      <c r="F83" s="150"/>
      <c r="G83" s="150"/>
      <c r="H83" s="149"/>
      <c r="I83" s="151"/>
      <c r="J83" s="149"/>
      <c r="K83" s="841">
        <f>IF(AND(SUM(K62:K73)&gt;0,'Subaward Calculator'!AD46=0),"",'BP1'!K75+'BP2'!K75+'BP3'!K75+'BP4'!K75+'BP5'!K75-'Subaward Calculator'!AD46+'Subaward Calculator'!AD44)</f>
        <v>0</v>
      </c>
      <c r="L83" s="841"/>
      <c r="M83" s="231"/>
      <c r="N83" s="502"/>
      <c r="O83" s="502"/>
      <c r="R83" s="117" t="s">
        <v>219</v>
      </c>
    </row>
    <row r="84" spans="1:18" ht="14.25" customHeight="1" thickBot="1">
      <c r="A84" s="188" t="s">
        <v>464</v>
      </c>
      <c r="B84" s="149"/>
      <c r="C84" s="149"/>
      <c r="D84" s="150"/>
      <c r="E84" s="150"/>
      <c r="F84" s="150"/>
      <c r="G84" s="150"/>
      <c r="H84" s="149"/>
      <c r="I84" s="151"/>
      <c r="J84" s="149"/>
      <c r="K84" s="841">
        <f ca="1">'BP1'!K80+'BP2'!K80+'BP3'!K80+'BP4'!K80+'BP5'!K80</f>
        <v>0</v>
      </c>
      <c r="L84" s="841"/>
      <c r="M84" s="231"/>
      <c r="N84" s="767">
        <f ca="1">'BP1'!N80+'BP2'!N80+'BP3'!N80+'BP4'!N80+'BP5'!N80</f>
        <v>0</v>
      </c>
      <c r="O84" s="772"/>
      <c r="R84" s="117" t="s">
        <v>219</v>
      </c>
    </row>
    <row r="85" spans="1:18" ht="14.25" customHeight="1" thickBot="1">
      <c r="A85" s="359"/>
      <c r="B85" s="263"/>
      <c r="C85" s="263"/>
      <c r="D85" s="261"/>
      <c r="E85" s="261"/>
      <c r="F85" s="261"/>
      <c r="G85" s="261"/>
      <c r="H85" s="263"/>
      <c r="I85" s="264"/>
      <c r="J85" s="263"/>
      <c r="K85" s="326"/>
      <c r="L85" s="326"/>
      <c r="M85" s="231"/>
      <c r="N85" s="237"/>
      <c r="O85" s="237"/>
      <c r="R85" s="117" t="s">
        <v>219</v>
      </c>
    </row>
    <row r="86" spans="1:18" ht="14.25" customHeight="1" thickBot="1">
      <c r="K86" s="777"/>
      <c r="L86" s="777"/>
      <c r="N86" s="778">
        <f>$A$5</f>
        <v>3</v>
      </c>
      <c r="O86" s="779"/>
      <c r="P86" s="839" t="s">
        <v>423</v>
      </c>
      <c r="Q86" s="840"/>
      <c r="R86" s="117" t="s">
        <v>219</v>
      </c>
    </row>
    <row r="87" spans="1:18" ht="14.25" customHeight="1" thickBot="1">
      <c r="G87" s="786" t="str">
        <f ca="1">IF(('BP1'!$N$80+'BP2'!$N$80+'BP3'!$N$80+'BP4'!$N$80+'BP5'!$N$80)&gt;0,"NORTHWESTERN COST-SHARE","")</f>
        <v/>
      </c>
      <c r="H87" s="786"/>
      <c r="I87" s="786"/>
      <c r="J87" s="786"/>
      <c r="K87" s="786"/>
      <c r="L87" s="786"/>
      <c r="N87" s="752">
        <f ca="1">N80-SUM(N62:N73)</f>
        <v>0</v>
      </c>
      <c r="O87" s="753"/>
      <c r="P87" s="820">
        <f ca="1">'BP1'!$N$87+'BP2'!$N$87+'BP3'!$N$87+'BP4'!$N$87+'BP5'!$N$87</f>
        <v>0</v>
      </c>
      <c r="Q87" s="821">
        <f>'BP1'!Q78+'BP2'!Q78+'BP3'!Q78+'BP4'!Q78+'BP5'!Q78</f>
        <v>0</v>
      </c>
      <c r="R87" s="117" t="s">
        <v>219</v>
      </c>
    </row>
    <row r="88" spans="1:18" ht="14.25" customHeight="1" thickBot="1">
      <c r="F88" s="261"/>
      <c r="G88" s="786" t="str">
        <f ca="1">IF(('BP1'!$N$80+'BP2'!$N$80+'BP3'!$N$80+'BP4'!$N$80+'BP5'!$N$80)&gt;0,"SUBAWARD COST-SHARE","")</f>
        <v/>
      </c>
      <c r="H88" s="786"/>
      <c r="I88" s="786"/>
      <c r="J88" s="786"/>
      <c r="K88" s="786"/>
      <c r="L88" s="786"/>
      <c r="M88" s="1"/>
      <c r="N88" s="752">
        <f>SUM(N62:N73)</f>
        <v>0</v>
      </c>
      <c r="O88" s="753"/>
      <c r="P88" s="820">
        <f>'BP1'!$N$88+'BP2'!$N$88+'BP3'!$N$88+'BP4'!$N$88+'BP5'!$N$88</f>
        <v>0</v>
      </c>
      <c r="Q88" s="821">
        <f>'BP1'!Q79+'BP2'!Q79+'BP3'!Q79+'BP4'!Q79+'BP5'!Q79</f>
        <v>0</v>
      </c>
      <c r="R88" s="117" t="s">
        <v>219</v>
      </c>
    </row>
    <row r="89" spans="1:18" ht="14.25" customHeight="1" thickBot="1">
      <c r="F89" s="261"/>
      <c r="G89" s="786" t="str">
        <f ca="1">IF(('BP1'!$N$80+'BP2'!$N$80+'BP3'!$N$80+'BP4'!$N$80+'BP5'!$N$80)&gt;0,"THIRD PARTY COST-SHARE","")</f>
        <v/>
      </c>
      <c r="H89" s="786"/>
      <c r="I89" s="786"/>
      <c r="J89" s="786"/>
      <c r="K89" s="786"/>
      <c r="L89" s="786"/>
      <c r="M89" s="1"/>
      <c r="N89" s="787"/>
      <c r="O89" s="788"/>
      <c r="P89" s="820">
        <f>'BP1'!$N$89+'BP2'!$N$89+'BP3'!$N$89+'BP4'!$N$89+'BP5'!$N$89</f>
        <v>0</v>
      </c>
      <c r="Q89" s="821">
        <f>'BP1'!Q78+'BP2'!Q78+'BP3'!Q78+'BP4'!Q78+'BP5'!Q78</f>
        <v>0</v>
      </c>
      <c r="R89" s="117" t="s">
        <v>219</v>
      </c>
    </row>
    <row r="90" spans="1:18" ht="14.25" customHeight="1" thickBot="1">
      <c r="F90" s="259"/>
      <c r="G90" s="786" t="str">
        <f ca="1">IF(('BP1'!$N$80+'BP2'!$N$80+'BP3'!$N$80+'BP4'!$N$80+'BP5'!$N$80)&gt;0,"TOTAL COST-SHARED","")</f>
        <v/>
      </c>
      <c r="H90" s="786"/>
      <c r="I90" s="786"/>
      <c r="J90" s="786"/>
      <c r="K90" s="786"/>
      <c r="L90" s="786"/>
      <c r="M90" s="1"/>
      <c r="N90" s="752">
        <f ca="1">$N$80+$N$89</f>
        <v>0</v>
      </c>
      <c r="O90" s="753"/>
      <c r="P90" s="820">
        <f ca="1">'BP1'!$N$90+'BP2'!$N$90+'BP3'!$N$90+'BP4'!$N$90+'BP5'!$N$90</f>
        <v>0</v>
      </c>
      <c r="Q90" s="821">
        <f>'BP1'!Q79+'BP2'!Q79+'BP3'!Q79+'BP4'!Q79+'BP5'!Q79</f>
        <v>0</v>
      </c>
      <c r="R90" s="117" t="s">
        <v>219</v>
      </c>
    </row>
    <row r="91" spans="1:18" ht="14.25" customHeight="1" thickBot="1">
      <c r="F91" s="784" t="str">
        <f ca="1">IF(('BP1'!$N$80+'BP2'!$N$80+'BP3'!$N$80+'BP4'!$N$80+'BP5'!$N$80)&gt;0,"TOTAL SPONSOR COSTS","")</f>
        <v/>
      </c>
      <c r="G91" s="784"/>
      <c r="H91" s="784"/>
      <c r="I91" s="784"/>
      <c r="J91" s="784"/>
      <c r="K91" s="784"/>
      <c r="L91" s="784"/>
      <c r="M91" s="1"/>
      <c r="N91" s="752">
        <f ca="1">IF(('BP1'!$N$80+'BP2'!$N$80+'BP3'!$N$80+'BP4'!$N$80+'BP5'!$N$80)&gt;0,$K$80,)</f>
        <v>0</v>
      </c>
      <c r="O91" s="753"/>
      <c r="P91" s="820">
        <f ca="1">'BP1'!$N$91+'BP2'!$N$91+'BP3'!$N$91+'BP4'!$N$91+'BP5'!$N$91</f>
        <v>0</v>
      </c>
      <c r="Q91" s="821">
        <f>'BP1'!Q80+'BP2'!Q80+'BP3'!Q80+'BP4'!Q80+'BP5'!Q80</f>
        <v>0</v>
      </c>
      <c r="R91" s="117" t="s">
        <v>219</v>
      </c>
    </row>
    <row r="92" spans="1:18" ht="14.25" customHeight="1" thickBot="1">
      <c r="F92" s="784" t="str">
        <f ca="1">IF(('BP1'!$N$80+'BP2'!$N$80+'BP3'!$N$80+'BP4'!$N$80+'BP5'!$N$80)&gt;0,"NORTHWESTERN SPONSOR COSTS","")</f>
        <v/>
      </c>
      <c r="G92" s="784"/>
      <c r="H92" s="784"/>
      <c r="I92" s="784"/>
      <c r="J92" s="784"/>
      <c r="K92" s="784"/>
      <c r="L92" s="784"/>
      <c r="M92" s="1"/>
      <c r="N92" s="752">
        <f ca="1">IF(('BP1'!$N$80+'BP2'!$N$80+'BP3'!$N$80+'BP4'!$N$80+'BP5'!$N$80)&gt;0,$K$80-SUM(K62:L73),)</f>
        <v>0</v>
      </c>
      <c r="O92" s="753"/>
      <c r="P92" s="820">
        <f ca="1">'BP1'!$N$92+'BP2'!$N$92+'BP3'!$N$92+'BP4'!$N$92+'BP5'!$N$92</f>
        <v>0</v>
      </c>
      <c r="Q92" s="821">
        <f>'BP1'!Q81+'BP2'!Q81+'BP3'!Q81+'BP4'!Q81+'BP5'!Q81</f>
        <v>0</v>
      </c>
      <c r="R92" s="117" t="s">
        <v>219</v>
      </c>
    </row>
    <row r="93" spans="1:18" ht="14.25" customHeight="1" thickBot="1">
      <c r="F93" s="259"/>
      <c r="G93" s="784" t="str">
        <f ca="1">IF(('BP1'!$N$80+'BP2'!$N$80+'BP3'!$N$80+'BP4'!$N$80+'BP5'!$N$80)&gt;0,"PROJECT COSTS","")</f>
        <v/>
      </c>
      <c r="H93" s="784"/>
      <c r="I93" s="784"/>
      <c r="J93" s="784"/>
      <c r="K93" s="784"/>
      <c r="L93" s="784"/>
      <c r="M93" s="1"/>
      <c r="N93" s="752">
        <f ca="1">IF(('BP1'!$N$80+'BP2'!$N$80+'BP3'!$N$80+'BP4'!$N$80+'BP5'!$N$80)&gt;0,$N$91+$N$90,)</f>
        <v>0</v>
      </c>
      <c r="O93" s="753"/>
      <c r="P93" s="820">
        <f ca="1">'BP1'!$N$93+'BP2'!$N$93+'BP3'!$N$93+'BP4'!$N$93+'BP5'!$N$93</f>
        <v>0</v>
      </c>
      <c r="Q93" s="821">
        <f>'BP1'!Q81+'BP2'!Q81+'BP3'!Q81+'BP4'!Q81+'BP5'!Q81</f>
        <v>0</v>
      </c>
      <c r="R93" s="117" t="s">
        <v>219</v>
      </c>
    </row>
    <row r="94" spans="1:18" ht="14.25" customHeight="1" thickBot="1">
      <c r="F94" s="260"/>
      <c r="G94" s="785" t="str">
        <f ca="1">IF(('BP1'!$N$80+'BP2'!$N$80+'BP3'!$N$80+'BP4'!$N$80+'BP5'!$N$80)&gt;0,"COST-SHARE AS % OF SPONSOR COSTS","")</f>
        <v/>
      </c>
      <c r="H94" s="785"/>
      <c r="I94" s="785"/>
      <c r="J94" s="785"/>
      <c r="K94" s="785"/>
      <c r="L94" s="785"/>
      <c r="M94" s="1"/>
      <c r="N94" s="775">
        <f ca="1">IFERROR($N$90/$N$91,)</f>
        <v>0</v>
      </c>
      <c r="O94" s="776"/>
      <c r="P94" s="842">
        <f ca="1">IFERROR($P$90/$P$91,)</f>
        <v>0</v>
      </c>
      <c r="Q94" s="843"/>
      <c r="R94" s="117" t="s">
        <v>219</v>
      </c>
    </row>
    <row r="95" spans="1:18" ht="14.25" customHeight="1" thickBot="1">
      <c r="F95" s="784" t="str">
        <f ca="1">IF(('BP1'!$N$80+'BP2'!$N$80+'BP3'!$N$80+'BP4'!$N$80+'BP5'!$N$80)&gt;0,"COST-SHARE AS % OF PROJECT COSTS","")</f>
        <v/>
      </c>
      <c r="G95" s="784"/>
      <c r="H95" s="784"/>
      <c r="I95" s="784"/>
      <c r="J95" s="784"/>
      <c r="K95" s="784"/>
      <c r="L95" s="784"/>
      <c r="M95" s="1"/>
      <c r="N95" s="775">
        <f ca="1">IFERROR($N$90/$N$93,)</f>
        <v>0</v>
      </c>
      <c r="O95" s="776"/>
      <c r="P95" s="842">
        <f ca="1">IFERROR($P$90/$P$93,)</f>
        <v>0</v>
      </c>
      <c r="Q95" s="843"/>
      <c r="R95" s="117" t="s">
        <v>219</v>
      </c>
    </row>
    <row r="96" spans="1:18" ht="12.75"/>
  </sheetData>
  <sheetProtection formatCells="0" formatColumns="0" formatRows="0"/>
  <autoFilter ref="R1:R95" xr:uid="{00000000-0009-0000-0000-000004000000}">
    <filterColumn colId="0">
      <filters>
        <filter val="A) Condensed"/>
      </filters>
    </filterColumn>
  </autoFilter>
  <mergeCells count="202">
    <mergeCell ref="C59:J59"/>
    <mergeCell ref="K55:L55"/>
    <mergeCell ref="K53:L53"/>
    <mergeCell ref="K70:L70"/>
    <mergeCell ref="K71:L71"/>
    <mergeCell ref="K59:L59"/>
    <mergeCell ref="K63:L63"/>
    <mergeCell ref="K64:L64"/>
    <mergeCell ref="K65:L65"/>
    <mergeCell ref="K66:L66"/>
    <mergeCell ref="C63:D63"/>
    <mergeCell ref="C61:J61"/>
    <mergeCell ref="C67:D67"/>
    <mergeCell ref="G68:I68"/>
    <mergeCell ref="E69:F69"/>
    <mergeCell ref="K61:L61"/>
    <mergeCell ref="C60:J60"/>
    <mergeCell ref="G62:I62"/>
    <mergeCell ref="E62:F62"/>
    <mergeCell ref="K67:L67"/>
    <mergeCell ref="K68:L68"/>
    <mergeCell ref="K69:L69"/>
    <mergeCell ref="K60:L60"/>
    <mergeCell ref="E70:F70"/>
    <mergeCell ref="F92:L92"/>
    <mergeCell ref="N92:O92"/>
    <mergeCell ref="N67:O67"/>
    <mergeCell ref="N68:O68"/>
    <mergeCell ref="N79:O79"/>
    <mergeCell ref="N80:O80"/>
    <mergeCell ref="G77:H77"/>
    <mergeCell ref="N78:O78"/>
    <mergeCell ref="N69:O69"/>
    <mergeCell ref="N70:O70"/>
    <mergeCell ref="N71:O71"/>
    <mergeCell ref="K76:L76"/>
    <mergeCell ref="G67:I67"/>
    <mergeCell ref="E68:F68"/>
    <mergeCell ref="I77:J77"/>
    <mergeCell ref="K84:L84"/>
    <mergeCell ref="K86:L86"/>
    <mergeCell ref="K80:L80"/>
    <mergeCell ref="K79:L79"/>
    <mergeCell ref="K74:L74"/>
    <mergeCell ref="K75:L75"/>
    <mergeCell ref="G87:L87"/>
    <mergeCell ref="K82:L82"/>
    <mergeCell ref="G88:L88"/>
    <mergeCell ref="K83:L83"/>
    <mergeCell ref="N72:O72"/>
    <mergeCell ref="E63:F63"/>
    <mergeCell ref="E64:F64"/>
    <mergeCell ref="E65:F65"/>
    <mergeCell ref="E66:F66"/>
    <mergeCell ref="N86:O86"/>
    <mergeCell ref="N73:O73"/>
    <mergeCell ref="N74:O74"/>
    <mergeCell ref="N75:O75"/>
    <mergeCell ref="E73:F73"/>
    <mergeCell ref="G73:I73"/>
    <mergeCell ref="K72:L72"/>
    <mergeCell ref="K73:L73"/>
    <mergeCell ref="G70:I70"/>
    <mergeCell ref="E71:F71"/>
    <mergeCell ref="P94:Q94"/>
    <mergeCell ref="N84:O84"/>
    <mergeCell ref="N82:O82"/>
    <mergeCell ref="P95:Q95"/>
    <mergeCell ref="N90:O90"/>
    <mergeCell ref="N91:O91"/>
    <mergeCell ref="N93:O93"/>
    <mergeCell ref="N94:O94"/>
    <mergeCell ref="N95:O95"/>
    <mergeCell ref="N89:O89"/>
    <mergeCell ref="P90:Q90"/>
    <mergeCell ref="P91:Q91"/>
    <mergeCell ref="P93:Q93"/>
    <mergeCell ref="P86:Q86"/>
    <mergeCell ref="P89:Q89"/>
    <mergeCell ref="N87:O87"/>
    <mergeCell ref="P92:Q92"/>
    <mergeCell ref="N88:O88"/>
    <mergeCell ref="P88:Q88"/>
    <mergeCell ref="P87:Q87"/>
    <mergeCell ref="F95:L95"/>
    <mergeCell ref="G94:L94"/>
    <mergeCell ref="F91:L91"/>
    <mergeCell ref="E72:F72"/>
    <mergeCell ref="G72:I72"/>
    <mergeCell ref="C72:D72"/>
    <mergeCell ref="C73:D73"/>
    <mergeCell ref="C62:D62"/>
    <mergeCell ref="C64:D64"/>
    <mergeCell ref="C65:D65"/>
    <mergeCell ref="C66:D66"/>
    <mergeCell ref="C68:D68"/>
    <mergeCell ref="C69:D69"/>
    <mergeCell ref="C70:D70"/>
    <mergeCell ref="C71:D71"/>
    <mergeCell ref="A78:F78"/>
    <mergeCell ref="A79:F79"/>
    <mergeCell ref="H79:J79"/>
    <mergeCell ref="E67:F67"/>
    <mergeCell ref="G69:I69"/>
    <mergeCell ref="G89:L89"/>
    <mergeCell ref="G90:L90"/>
    <mergeCell ref="K62:L62"/>
    <mergeCell ref="G93:L93"/>
    <mergeCell ref="K41:L41"/>
    <mergeCell ref="A1:J4"/>
    <mergeCell ref="A5:J6"/>
    <mergeCell ref="K1:L1"/>
    <mergeCell ref="K4:L4"/>
    <mergeCell ref="K5:L5"/>
    <mergeCell ref="K6:L6"/>
    <mergeCell ref="E11:G11"/>
    <mergeCell ref="H12:J12"/>
    <mergeCell ref="H13:J13"/>
    <mergeCell ref="K7:L7"/>
    <mergeCell ref="K3:L3"/>
    <mergeCell ref="K12:L13"/>
    <mergeCell ref="A9:D9"/>
    <mergeCell ref="A11:D11"/>
    <mergeCell ref="A30:F30"/>
    <mergeCell ref="H8:J9"/>
    <mergeCell ref="H10:J11"/>
    <mergeCell ref="K8:L9"/>
    <mergeCell ref="K10:L11"/>
    <mergeCell ref="E9:G9"/>
    <mergeCell ref="G12:G14"/>
    <mergeCell ref="B15:F15"/>
    <mergeCell ref="B16:F16"/>
    <mergeCell ref="B17:F17"/>
    <mergeCell ref="B18:F18"/>
    <mergeCell ref="B19:F19"/>
    <mergeCell ref="B20:F20"/>
    <mergeCell ref="B27:F27"/>
    <mergeCell ref="B28:F28"/>
    <mergeCell ref="B29:F29"/>
    <mergeCell ref="B26:F26"/>
    <mergeCell ref="B25:F25"/>
    <mergeCell ref="B21:F21"/>
    <mergeCell ref="B22:F22"/>
    <mergeCell ref="B23:F23"/>
    <mergeCell ref="B24:F24"/>
    <mergeCell ref="C55:J55"/>
    <mergeCell ref="K57:L57"/>
    <mergeCell ref="K58:L58"/>
    <mergeCell ref="K52:L52"/>
    <mergeCell ref="K45:L45"/>
    <mergeCell ref="K48:L48"/>
    <mergeCell ref="K49:L49"/>
    <mergeCell ref="B46:F46"/>
    <mergeCell ref="B47:F47"/>
    <mergeCell ref="C56:J56"/>
    <mergeCell ref="C57:J57"/>
    <mergeCell ref="C58:J58"/>
    <mergeCell ref="K46:L46"/>
    <mergeCell ref="K47:L47"/>
    <mergeCell ref="B45:F45"/>
    <mergeCell ref="B48:F48"/>
    <mergeCell ref="B49:F49"/>
    <mergeCell ref="K50:L50"/>
    <mergeCell ref="H51:J51"/>
    <mergeCell ref="H52:J52"/>
    <mergeCell ref="H53:J53"/>
    <mergeCell ref="K42:L42"/>
    <mergeCell ref="N50:O50"/>
    <mergeCell ref="N51:O51"/>
    <mergeCell ref="N52:O52"/>
    <mergeCell ref="N53:O53"/>
    <mergeCell ref="N55:O55"/>
    <mergeCell ref="N56:O56"/>
    <mergeCell ref="N57:O57"/>
    <mergeCell ref="N49:O49"/>
    <mergeCell ref="K56:L56"/>
    <mergeCell ref="K51:L51"/>
    <mergeCell ref="K43:L43"/>
    <mergeCell ref="M1:O9"/>
    <mergeCell ref="M10:O11"/>
    <mergeCell ref="N41:O41"/>
    <mergeCell ref="N42:O42"/>
    <mergeCell ref="N43:O43"/>
    <mergeCell ref="N45:O45"/>
    <mergeCell ref="N46:O46"/>
    <mergeCell ref="N47:O47"/>
    <mergeCell ref="G71:I71"/>
    <mergeCell ref="N12:O13"/>
    <mergeCell ref="G63:I63"/>
    <mergeCell ref="G64:I64"/>
    <mergeCell ref="G65:I65"/>
    <mergeCell ref="G66:I66"/>
    <mergeCell ref="N58:O58"/>
    <mergeCell ref="N59:O59"/>
    <mergeCell ref="N60:O60"/>
    <mergeCell ref="N61:O61"/>
    <mergeCell ref="N62:O62"/>
    <mergeCell ref="N63:O63"/>
    <mergeCell ref="N64:O64"/>
    <mergeCell ref="N65:O65"/>
    <mergeCell ref="N66:O66"/>
    <mergeCell ref="N48:O48"/>
  </mergeCells>
  <phoneticPr fontId="10" type="noConversion"/>
  <conditionalFormatting sqref="Q15:Q29">
    <cfRule type="cellIs" dxfId="18" priority="7" operator="greaterThan">
      <formula>0</formula>
    </cfRule>
  </conditionalFormatting>
  <conditionalFormatting sqref="I77:J77">
    <cfRule type="expression" dxfId="17" priority="5">
      <formula>$L$2&lt;&gt;"Custom"</formula>
    </cfRule>
    <cfRule type="expression" dxfId="16" priority="6">
      <formula>$L$2="Custom"</formula>
    </cfRule>
  </conditionalFormatting>
  <conditionalFormatting sqref="P88:Q95">
    <cfRule type="expression" dxfId="15" priority="3">
      <formula>$N$80&gt;0</formula>
    </cfRule>
  </conditionalFormatting>
  <conditionalFormatting sqref="P86:Q86">
    <cfRule type="expression" dxfId="14" priority="2">
      <formula>$N$80&gt;0</formula>
    </cfRule>
  </conditionalFormatting>
  <conditionalFormatting sqref="P87:Q87">
    <cfRule type="expression" dxfId="13" priority="1">
      <formula>$N$80&gt;0</formula>
    </cfRule>
  </conditionalFormatting>
  <dataValidations count="3">
    <dataValidation errorStyle="warning" allowBlank="1" showInputMessage="1" sqref="K7" xr:uid="{00000000-0002-0000-0400-000000000000}"/>
    <dataValidation allowBlank="1" showErrorMessage="1" sqref="L2 K2:K3" xr:uid="{00000000-0002-0000-0400-000001000000}"/>
    <dataValidation type="whole" allowBlank="1" showInputMessage="1" showErrorMessage="1" sqref="A5:J6" xr:uid="{00000000-0002-0000-0400-000002000000}">
      <formula1>1</formula1>
      <formula2>20</formula2>
    </dataValidation>
  </dataValidations>
  <printOptions horizontalCentered="1" verticalCentered="1"/>
  <pageMargins left="0.5" right="0.5" top="0.5" bottom="1" header="0.5" footer="0.5"/>
  <pageSetup scale="91" orientation="portrait" horizontalDpi="300" verticalDpi="300" r:id="rId1"/>
  <headerFooter alignWithMargins="0"/>
  <ignoredErrors>
    <ignoredError sqref="E9 E11 A30:O31 A53:O61 A51:F52 H51:J52 A41:O50 A34:A37 C34:F37 A32:F33 A38:F40 H40:L40 H37:L37 K51:O52 A85:O86 H78:O78 H79:O79 H89:O89 A93:O93 A89:F90 H90:M90 A95:E95 A94:G94 H94:O94 G95:O95 A11 H38:K38 N38:O38 A77:H77 J77:O77 A81:O81 B82:M82 A74:O74 G62:I73 B80:O80 B75:J75 L75:O75 D62:F62 D63:F63 D64:F64 D65:F65 D66:F66 D67:F67 D68:F68 D69:F69 D70:F70 D71:F71 A62:B73 D72:F72 D73:F73 B84:M84 O90 O82 O84 O72 O71 O70 O69 O68 O67 O66 O65 O64 O63 O62 O73 N72 N73 N62 N63 N64 N65 N66 N67 N68 N69 N70 N71 A91:E91 G91:O91 A15 C15:L15 A16 C16:L16 A17 C17:L17 A18 C18:L18 A19 C19:L19 A20 C20:L20 A21 C21:L21 A22 C22:L22 A23 C23:L23 A24 C24:L24 A25 C25:L25 A26 C26:L26 A27 C27:L27 A28 C28:L28 A29 C29:L29 N15:O15 N16:O16 N17:O17 N18:O18 N19:O19 N20:O20 N21:O21 N22:O22 N23:O23 N24:O24 N25:O25 N26:O26 N27:O27 N28:O28 N29:O29 H32:L32 N32:O32 H33:L33 N33:O33 H34:L34 N34:O34 H35:L35 N35:O35 H36:L36 N36:O36 N37:O37 H39:L39 N39:O39 N40:O40" unlockedFormula="1"/>
    <ignoredError sqref="G51:G52" numberStoredAsText="1"/>
    <ignoredError sqref="J62:J73" evalError="1" unlockedFormula="1"/>
  </ignoredError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filterMode="1">
    <tabColor theme="4" tint="0.59999389629810485"/>
    <pageSetUpPr fitToPage="1"/>
  </sheetPr>
  <dimension ref="A1:R96"/>
  <sheetViews>
    <sheetView showGridLines="0" showZeros="0" zoomScaleNormal="100" workbookViewId="0">
      <selection activeCell="R1" sqref="R1"/>
    </sheetView>
  </sheetViews>
  <sheetFormatPr defaultColWidth="10.7109375" defaultRowHeight="12" customHeight="1" outlineLevelCol="1"/>
  <cols>
    <col min="1" max="1" width="2.42578125" style="6" customWidth="1"/>
    <col min="2" max="2" width="3.85546875" customWidth="1"/>
    <col min="3" max="3" width="1.5703125" customWidth="1"/>
    <col min="4" max="4" width="27.140625" style="3" customWidth="1"/>
    <col min="5" max="5" width="6.5703125" style="3" customWidth="1"/>
    <col min="6" max="6" width="9" style="3" customWidth="1"/>
    <col min="7" max="7" width="11.28515625" customWidth="1"/>
    <col min="8" max="9" width="6.85546875" customWidth="1"/>
    <col min="10" max="10" width="6.85546875" style="118" customWidth="1"/>
    <col min="11" max="11" width="12.140625" customWidth="1"/>
    <col min="12" max="12" width="12.140625" style="81" customWidth="1"/>
    <col min="13" max="13" width="5.85546875" style="81" bestFit="1" customWidth="1" outlineLevel="1"/>
    <col min="14" max="14" width="12.140625" customWidth="1" outlineLevel="1"/>
    <col min="15" max="15" width="12.140625" style="81" customWidth="1" outlineLevel="1"/>
    <col min="16" max="17" width="14.42578125" style="1" customWidth="1"/>
    <col min="18" max="18" width="35.7109375" style="1" customWidth="1"/>
    <col min="19" max="22" width="10.7109375" style="1" customWidth="1"/>
    <col min="23" max="16384" width="10.7109375" style="1"/>
  </cols>
  <sheetData>
    <row r="1" spans="1:18" ht="14.25" customHeight="1" thickBot="1">
      <c r="A1" s="854" t="str">
        <f>'BP1'!A1:L1</f>
        <v>Title</v>
      </c>
      <c r="B1" s="855"/>
      <c r="C1" s="855"/>
      <c r="D1" s="855"/>
      <c r="E1" s="855"/>
      <c r="F1" s="855"/>
      <c r="G1" s="855"/>
      <c r="H1" s="855"/>
      <c r="I1" s="855"/>
      <c r="J1" s="856"/>
      <c r="K1" s="722" t="s">
        <v>225</v>
      </c>
      <c r="L1" s="723"/>
      <c r="M1" s="844"/>
      <c r="N1" s="844"/>
      <c r="O1" s="844"/>
      <c r="R1" s="119" t="s">
        <v>188</v>
      </c>
    </row>
    <row r="2" spans="1:18" ht="14.25" customHeight="1">
      <c r="A2" s="857"/>
      <c r="B2" s="858"/>
      <c r="C2" s="858"/>
      <c r="D2" s="858"/>
      <c r="E2" s="858"/>
      <c r="F2" s="858"/>
      <c r="G2" s="858"/>
      <c r="H2" s="858"/>
      <c r="I2" s="858"/>
      <c r="J2" s="858"/>
      <c r="K2" s="462" t="str">
        <f>'BP1'!K2</f>
        <v>Federal</v>
      </c>
      <c r="L2" s="463" t="str">
        <f>'BP1'!L2</f>
        <v>On Campus</v>
      </c>
      <c r="M2" s="844"/>
      <c r="N2" s="844"/>
      <c r="O2" s="844"/>
      <c r="R2" s="117" t="s">
        <v>219</v>
      </c>
    </row>
    <row r="3" spans="1:18" ht="14.25" customHeight="1">
      <c r="A3" s="857"/>
      <c r="B3" s="858"/>
      <c r="C3" s="858"/>
      <c r="D3" s="858"/>
      <c r="E3" s="858"/>
      <c r="F3" s="858"/>
      <c r="G3" s="858"/>
      <c r="H3" s="858"/>
      <c r="I3" s="858"/>
      <c r="J3" s="858"/>
      <c r="K3" s="825" t="str">
        <f>'BP1'!K3</f>
        <v>MTDC</v>
      </c>
      <c r="L3" s="826"/>
      <c r="M3" s="844"/>
      <c r="N3" s="844"/>
      <c r="O3" s="844"/>
      <c r="R3" s="117" t="s">
        <v>219</v>
      </c>
    </row>
    <row r="4" spans="1:18" ht="14.25" customHeight="1">
      <c r="A4" s="857"/>
      <c r="B4" s="858"/>
      <c r="C4" s="858"/>
      <c r="D4" s="858"/>
      <c r="E4" s="858"/>
      <c r="F4" s="858"/>
      <c r="G4" s="858"/>
      <c r="H4" s="858"/>
      <c r="I4" s="858"/>
      <c r="J4" s="859"/>
      <c r="K4" s="724" t="s">
        <v>445</v>
      </c>
      <c r="L4" s="725"/>
      <c r="M4" s="844"/>
      <c r="N4" s="844"/>
      <c r="O4" s="844"/>
      <c r="R4" s="117" t="s">
        <v>219</v>
      </c>
    </row>
    <row r="5" spans="1:18" ht="14.25" customHeight="1">
      <c r="A5" s="713">
        <f>'BP3'!A5+1</f>
        <v>4</v>
      </c>
      <c r="B5" s="714"/>
      <c r="C5" s="714"/>
      <c r="D5" s="714"/>
      <c r="E5" s="714"/>
      <c r="F5" s="714"/>
      <c r="G5" s="714"/>
      <c r="H5" s="714"/>
      <c r="I5" s="714"/>
      <c r="J5" s="715"/>
      <c r="K5" s="850">
        <f>'BP1'!K5</f>
        <v>1</v>
      </c>
      <c r="L5" s="851"/>
      <c r="M5" s="844"/>
      <c r="N5" s="844"/>
      <c r="O5" s="844"/>
      <c r="R5" s="117" t="s">
        <v>219</v>
      </c>
    </row>
    <row r="6" spans="1:18" ht="13.5" customHeight="1">
      <c r="A6" s="713"/>
      <c r="B6" s="714"/>
      <c r="C6" s="714"/>
      <c r="D6" s="714"/>
      <c r="E6" s="714"/>
      <c r="F6" s="714"/>
      <c r="G6" s="714"/>
      <c r="H6" s="714"/>
      <c r="I6" s="714"/>
      <c r="J6" s="715"/>
      <c r="K6" s="728" t="s">
        <v>98</v>
      </c>
      <c r="L6" s="729"/>
      <c r="M6" s="845"/>
      <c r="N6" s="844"/>
      <c r="O6" s="844"/>
      <c r="R6" s="117" t="s">
        <v>219</v>
      </c>
    </row>
    <row r="7" spans="1:18" ht="13.5" customHeight="1">
      <c r="A7" s="214"/>
      <c r="B7" s="215"/>
      <c r="C7" s="215"/>
      <c r="D7" s="216"/>
      <c r="E7" s="216"/>
      <c r="F7" s="216"/>
      <c r="G7" s="217"/>
      <c r="H7" s="215"/>
      <c r="I7" s="215"/>
      <c r="J7" s="218"/>
      <c r="K7" s="852">
        <f>'BP1'!$K$7</f>
        <v>0.03</v>
      </c>
      <c r="L7" s="853"/>
      <c r="M7" s="845"/>
      <c r="N7" s="844"/>
      <c r="O7" s="844"/>
      <c r="R7" s="117" t="s">
        <v>219</v>
      </c>
    </row>
    <row r="8" spans="1:18" ht="14.25" customHeight="1">
      <c r="A8" s="179" t="s">
        <v>200</v>
      </c>
      <c r="B8" s="180"/>
      <c r="C8" s="180"/>
      <c r="D8" s="181"/>
      <c r="E8" s="182" t="str">
        <f>'BP1'!E8</f>
        <v>Originating Sponsor</v>
      </c>
      <c r="F8" s="156"/>
      <c r="G8" s="156"/>
      <c r="H8" s="738" t="s">
        <v>514</v>
      </c>
      <c r="I8" s="738"/>
      <c r="J8" s="739"/>
      <c r="K8" s="734">
        <f>EDATE('BP3'!K10,0)+1</f>
        <v>44439</v>
      </c>
      <c r="L8" s="827"/>
      <c r="M8" s="845"/>
      <c r="N8" s="844"/>
      <c r="O8" s="844"/>
      <c r="R8" s="117" t="s">
        <v>219</v>
      </c>
    </row>
    <row r="9" spans="1:18" s="2" customFormat="1" ht="14.25" customHeight="1">
      <c r="A9" s="709" t="s">
        <v>1</v>
      </c>
      <c r="B9" s="710"/>
      <c r="C9" s="710"/>
      <c r="D9" s="710"/>
      <c r="E9" s="860">
        <f>'BP1'!E9</f>
        <v>0</v>
      </c>
      <c r="F9" s="860"/>
      <c r="G9" s="860"/>
      <c r="H9" s="740"/>
      <c r="I9" s="740"/>
      <c r="J9" s="741"/>
      <c r="K9" s="828"/>
      <c r="L9" s="829"/>
      <c r="M9" s="846"/>
      <c r="N9" s="847"/>
      <c r="O9" s="847"/>
      <c r="R9" s="117" t="s">
        <v>219</v>
      </c>
    </row>
    <row r="10" spans="1:18" s="2" customFormat="1" ht="14.25" customHeight="1">
      <c r="A10" s="183" t="s">
        <v>205</v>
      </c>
      <c r="B10" s="144"/>
      <c r="C10" s="144"/>
      <c r="D10" s="145"/>
      <c r="E10" s="182" t="str">
        <f>'BP1'!E10</f>
        <v>Flow-through Sponsor</v>
      </c>
      <c r="F10" s="156"/>
      <c r="G10" s="156"/>
      <c r="H10" s="738" t="s">
        <v>515</v>
      </c>
      <c r="I10" s="738"/>
      <c r="J10" s="739"/>
      <c r="K10" s="734">
        <f>EDATE(K8,12)-1</f>
        <v>44803</v>
      </c>
      <c r="L10" s="827"/>
      <c r="M10" s="747" t="s">
        <v>562</v>
      </c>
      <c r="N10" s="748"/>
      <c r="O10" s="848"/>
      <c r="R10" s="117" t="s">
        <v>219</v>
      </c>
    </row>
    <row r="11" spans="1:18" s="2" customFormat="1" ht="14.25" customHeight="1">
      <c r="A11" s="711" t="str">
        <f>'BP1'!A11:D11</f>
        <v>Professor McCormick</v>
      </c>
      <c r="B11" s="712"/>
      <c r="C11" s="712"/>
      <c r="D11" s="712"/>
      <c r="E11" s="860">
        <f>'BP1'!E11</f>
        <v>0</v>
      </c>
      <c r="F11" s="860"/>
      <c r="G11" s="860"/>
      <c r="H11" s="740"/>
      <c r="I11" s="740"/>
      <c r="J11" s="741"/>
      <c r="K11" s="828"/>
      <c r="L11" s="829"/>
      <c r="M11" s="749"/>
      <c r="N11" s="750"/>
      <c r="O11" s="849"/>
      <c r="R11" s="117" t="s">
        <v>219</v>
      </c>
    </row>
    <row r="12" spans="1:18" s="2" customFormat="1" ht="14.25" customHeight="1">
      <c r="A12" s="183" t="s">
        <v>202</v>
      </c>
      <c r="B12" s="144"/>
      <c r="C12" s="144"/>
      <c r="D12" s="157"/>
      <c r="E12" s="157"/>
      <c r="F12" s="331"/>
      <c r="G12" s="689" t="s">
        <v>902</v>
      </c>
      <c r="H12" s="692" t="s">
        <v>516</v>
      </c>
      <c r="I12" s="693"/>
      <c r="J12" s="694"/>
      <c r="K12" s="700" t="s">
        <v>35</v>
      </c>
      <c r="L12" s="701"/>
      <c r="M12" s="378" t="s">
        <v>286</v>
      </c>
      <c r="N12" s="700" t="s">
        <v>35</v>
      </c>
      <c r="O12" s="701"/>
      <c r="R12" s="117" t="s">
        <v>219</v>
      </c>
    </row>
    <row r="13" spans="1:18" s="2" customFormat="1" ht="14.25" customHeight="1">
      <c r="A13" s="143"/>
      <c r="B13" s="144"/>
      <c r="C13" s="144"/>
      <c r="D13" s="157"/>
      <c r="E13" s="157"/>
      <c r="F13" s="332"/>
      <c r="G13" s="690"/>
      <c r="H13" s="789" t="s">
        <v>285</v>
      </c>
      <c r="I13" s="790"/>
      <c r="J13" s="791"/>
      <c r="K13" s="702"/>
      <c r="L13" s="703"/>
      <c r="M13" s="377" t="s">
        <v>287</v>
      </c>
      <c r="N13" s="702"/>
      <c r="O13" s="703"/>
      <c r="R13" s="117" t="s">
        <v>219</v>
      </c>
    </row>
    <row r="14" spans="1:18" s="2" customFormat="1" ht="14.25" customHeight="1">
      <c r="A14" s="143"/>
      <c r="B14" s="155"/>
      <c r="C14" s="155"/>
      <c r="D14" s="153"/>
      <c r="E14" s="153"/>
      <c r="F14" s="379"/>
      <c r="G14" s="691"/>
      <c r="H14" s="173" t="s">
        <v>2</v>
      </c>
      <c r="I14" s="174" t="s">
        <v>198</v>
      </c>
      <c r="J14" s="174" t="s">
        <v>199</v>
      </c>
      <c r="K14" s="170" t="s">
        <v>33</v>
      </c>
      <c r="L14" s="171" t="s">
        <v>34</v>
      </c>
      <c r="M14" s="236" t="s">
        <v>288</v>
      </c>
      <c r="N14" s="170" t="s">
        <v>33</v>
      </c>
      <c r="O14" s="171" t="s">
        <v>34</v>
      </c>
      <c r="P14" s="195" t="s">
        <v>109</v>
      </c>
      <c r="Q14" s="195" t="s">
        <v>862</v>
      </c>
      <c r="R14" s="117" t="s">
        <v>219</v>
      </c>
    </row>
    <row r="15" spans="1:18" s="2" customFormat="1" ht="14.25" customHeight="1">
      <c r="A15" s="184">
        <v>1</v>
      </c>
      <c r="B15" s="830">
        <f>IF($A$5&lt;=$K$5,'BP2'!B15,)</f>
        <v>0</v>
      </c>
      <c r="C15" s="831"/>
      <c r="D15" s="831"/>
      <c r="E15" s="831"/>
      <c r="F15" s="832"/>
      <c r="G15" s="229">
        <f>IF($A$5&lt;=$K$5,'BP1'!G15,)</f>
        <v>0</v>
      </c>
      <c r="H15" s="219">
        <f>IF($G15&gt;0,'BP3'!H15,)</f>
        <v>0</v>
      </c>
      <c r="I15" s="220">
        <f>IF($G15&gt;0,'BP3'!I15,)</f>
        <v>0</v>
      </c>
      <c r="J15" s="220">
        <f>IF($G15&gt;0,'BP3'!J15,)</f>
        <v>0</v>
      </c>
      <c r="K15" s="140">
        <f ca="1">IFERROR(IF(Q15&gt;0,Q15/G15*(SUM(H15:J15)),P15/G15*(SUM(H15:J15))),)</f>
        <v>0</v>
      </c>
      <c r="L15" s="141">
        <f ca="1">IF(K15&gt;3,K15*LOOKUP($K$8,Lists!$A$2:$A$812,IF($K$2="Non-Federal",Lists!$D$2:$D$812,Lists!$C$2:$C$812)),0)</f>
        <v>0</v>
      </c>
      <c r="M15" s="234">
        <f>IF(G15&gt;0,'BP3'!M15,)</f>
        <v>0</v>
      </c>
      <c r="N15" s="140">
        <f ca="1">IFERROR(IF(Q15&gt;0,Q15/G15*M15,P15/G15*M15),)</f>
        <v>0</v>
      </c>
      <c r="O15" s="141">
        <f ca="1">N15*LOOKUP($K$8,Lists!$A$2:$A$812,IF($K$2="Non-Federal",Lists!$D$2:$D$812,Lists!$C$2:$C$812))</f>
        <v>0</v>
      </c>
      <c r="P15" s="205">
        <f ca="1">IF($A$5&lt;='BP1'!$K$5,(1+$K$7)*INDIRECT("BP"&amp;$A$5-1&amp;"!P15"),)</f>
        <v>0</v>
      </c>
      <c r="Q15" s="205">
        <f t="shared" ref="Q15:Q29" si="0">IF(COUNTIF(NIH,$E$9)&gt;0,(IF(G15&gt;0,IF((P15/G15)*12&gt;NIHSalCap,(NIHSalCap/12)*G15,),)),)</f>
        <v>0</v>
      </c>
      <c r="R15" s="117" t="s">
        <v>219</v>
      </c>
    </row>
    <row r="16" spans="1:18" s="2" customFormat="1" ht="14.25" customHeight="1">
      <c r="A16" s="184">
        <v>2</v>
      </c>
      <c r="B16" s="830">
        <f>IF($A$5&lt;=$K$5,'BP1'!B16,)</f>
        <v>0</v>
      </c>
      <c r="C16" s="831"/>
      <c r="D16" s="831"/>
      <c r="E16" s="831"/>
      <c r="F16" s="832"/>
      <c r="G16" s="229">
        <f>IF($A$5&lt;=$K$5,'BP1'!G16,)</f>
        <v>0</v>
      </c>
      <c r="H16" s="219">
        <f>IF($G16&gt;0,'BP3'!H16,)</f>
        <v>0</v>
      </c>
      <c r="I16" s="220">
        <f>IF($G16&gt;0,'BP3'!I16,)</f>
        <v>0</v>
      </c>
      <c r="J16" s="220">
        <f>IF($G16&gt;0,'BP3'!J16,)</f>
        <v>0</v>
      </c>
      <c r="K16" s="140">
        <f ca="1">IFERROR(IF(Q16&gt;0,Q16/G16*(SUM(H16:J16)),P16/G16*(SUM(H16:J16))),)</f>
        <v>0</v>
      </c>
      <c r="L16" s="141">
        <f ca="1">IF(K16&gt;3,K16*LOOKUP($K$8,Lists!$A$2:$A$812,IF($K$2="Non-Federal",Lists!$D$2:$D$812,Lists!$C$2:$C$812)),0)</f>
        <v>0</v>
      </c>
      <c r="M16" s="234">
        <f>IF(G16&gt;0,'BP3'!M16,)</f>
        <v>0</v>
      </c>
      <c r="N16" s="140">
        <f t="shared" ref="N16:N29" ca="1" si="1">IFERROR(IF(Q16&gt;0,Q16/G16*M16,P16/G16*M16),)</f>
        <v>0</v>
      </c>
      <c r="O16" s="141">
        <f ca="1">N16*LOOKUP($K$8,Lists!$A$2:$A$812,IF($K$2="Non-Federal",Lists!$D$2:$D$812,Lists!$C$2:$C$812))</f>
        <v>0</v>
      </c>
      <c r="P16" s="205">
        <f ca="1">IF($A$5&lt;='BP1'!$K$5,(1+$K$7)*INDIRECT("BP"&amp;$A$5-1&amp;"!P16"),)</f>
        <v>0</v>
      </c>
      <c r="Q16" s="205">
        <f>IF(COUNTIF(NIH,$E$9)&gt;0,(IF(G16&gt;0,IF((P16/G16)*12&gt;NIHSalCap,(NIHSalCap/12)*G16,),)),)</f>
        <v>0</v>
      </c>
      <c r="R16" s="117" t="s">
        <v>219</v>
      </c>
    </row>
    <row r="17" spans="1:18" s="2" customFormat="1" ht="14.25" customHeight="1">
      <c r="A17" s="184">
        <v>3</v>
      </c>
      <c r="B17" s="830">
        <f>IF($A$5&lt;=$K$5,'BP1'!B17,)</f>
        <v>0</v>
      </c>
      <c r="C17" s="831"/>
      <c r="D17" s="831"/>
      <c r="E17" s="831"/>
      <c r="F17" s="832"/>
      <c r="G17" s="229">
        <f>IF($A$5&lt;=$K$5,'BP1'!G17,)</f>
        <v>0</v>
      </c>
      <c r="H17" s="219">
        <f>IF($G17&gt;0,'BP3'!H17,)</f>
        <v>0</v>
      </c>
      <c r="I17" s="220">
        <f>IF($G17&gt;0,'BP3'!I17,)</f>
        <v>0</v>
      </c>
      <c r="J17" s="220">
        <f>IF($G17&gt;0,'BP3'!J17,)</f>
        <v>0</v>
      </c>
      <c r="K17" s="140">
        <f t="shared" ref="K17:K29" ca="1" si="2">IFERROR(IF(Q17&gt;0,Q17/G17*(SUM(H17:J17)),P17/G17*(SUM(H17:J17))),)</f>
        <v>0</v>
      </c>
      <c r="L17" s="141">
        <f ca="1">IF(K17&gt;3,K17*LOOKUP($K$8,Lists!$A$2:$A$812,IF($K$2="Non-Federal",Lists!$D$2:$D$812,Lists!$C$2:$C$812)),0)</f>
        <v>0</v>
      </c>
      <c r="M17" s="234">
        <f>IF(G17&gt;0,'BP3'!M17,)</f>
        <v>0</v>
      </c>
      <c r="N17" s="140">
        <f t="shared" ca="1" si="1"/>
        <v>0</v>
      </c>
      <c r="O17" s="141">
        <f ca="1">N17*LOOKUP($K$8,Lists!$A$2:$A$812,IF($K$2="Non-Federal",Lists!$D$2:$D$812,Lists!$C$2:$C$812))</f>
        <v>0</v>
      </c>
      <c r="P17" s="205">
        <f ca="1">IF($A$5&lt;='BP1'!$K$5,(1+$K$7)*INDIRECT("BP"&amp;$A$5-1&amp;"!P17"),)</f>
        <v>0</v>
      </c>
      <c r="Q17" s="205">
        <f t="shared" si="0"/>
        <v>0</v>
      </c>
      <c r="R17" s="117" t="s">
        <v>219</v>
      </c>
    </row>
    <row r="18" spans="1:18" s="2" customFormat="1" ht="14.25" customHeight="1">
      <c r="A18" s="184">
        <v>4</v>
      </c>
      <c r="B18" s="830">
        <f>IF($A$5&lt;=$K$5,'BP1'!B18,)</f>
        <v>0</v>
      </c>
      <c r="C18" s="831"/>
      <c r="D18" s="831"/>
      <c r="E18" s="831"/>
      <c r="F18" s="832"/>
      <c r="G18" s="229">
        <f>IF($A$5&lt;=$K$5,'BP1'!G18,)</f>
        <v>0</v>
      </c>
      <c r="H18" s="219">
        <f>IF($G18&gt;0,'BP3'!H18,)</f>
        <v>0</v>
      </c>
      <c r="I18" s="220">
        <f>IF($G18&gt;0,'BP3'!I18,)</f>
        <v>0</v>
      </c>
      <c r="J18" s="220">
        <f>IF($G18&gt;0,'BP3'!J18,)</f>
        <v>0</v>
      </c>
      <c r="K18" s="140">
        <f t="shared" ca="1" si="2"/>
        <v>0</v>
      </c>
      <c r="L18" s="141">
        <f ca="1">IF(K18&gt;3,K18*LOOKUP($K$8,Lists!$A$2:$A$812,IF($K$2="Non-Federal",Lists!$D$2:$D$812,Lists!$C$2:$C$812)),0)</f>
        <v>0</v>
      </c>
      <c r="M18" s="234">
        <f>IF(G18&gt;0,'BP3'!M18,)</f>
        <v>0</v>
      </c>
      <c r="N18" s="140">
        <f t="shared" ca="1" si="1"/>
        <v>0</v>
      </c>
      <c r="O18" s="141">
        <f ca="1">N18*LOOKUP($K$8,Lists!$A$2:$A$812,IF($K$2="Non-Federal",Lists!$D$2:$D$812,Lists!$C$2:$C$812))</f>
        <v>0</v>
      </c>
      <c r="P18" s="205">
        <f ca="1">IF($A$5&lt;='BP1'!$K$5,(1+$K$7)*INDIRECT("BP"&amp;$A$5-1&amp;"!P18"),)</f>
        <v>0</v>
      </c>
      <c r="Q18" s="205">
        <f t="shared" si="0"/>
        <v>0</v>
      </c>
      <c r="R18" s="117" t="s">
        <v>219</v>
      </c>
    </row>
    <row r="19" spans="1:18" s="2" customFormat="1" ht="14.25" customHeight="1">
      <c r="A19" s="184">
        <v>5</v>
      </c>
      <c r="B19" s="830">
        <f>IF($A$5&lt;=$K$5,'BP1'!B19,)</f>
        <v>0</v>
      </c>
      <c r="C19" s="831"/>
      <c r="D19" s="831"/>
      <c r="E19" s="831"/>
      <c r="F19" s="832"/>
      <c r="G19" s="229">
        <f>IF($A$5&lt;=$K$5,'BP1'!G19,)</f>
        <v>0</v>
      </c>
      <c r="H19" s="219">
        <f>IF($G19&gt;0,'BP3'!H19,)</f>
        <v>0</v>
      </c>
      <c r="I19" s="220">
        <f>IF($G19&gt;0,'BP3'!I19,)</f>
        <v>0</v>
      </c>
      <c r="J19" s="220">
        <f>IF($G19&gt;0,'BP3'!J19,)</f>
        <v>0</v>
      </c>
      <c r="K19" s="140">
        <f t="shared" ca="1" si="2"/>
        <v>0</v>
      </c>
      <c r="L19" s="141">
        <f ca="1">IF(K19&gt;3,K19*LOOKUP($K$8,Lists!$A$2:$A$812,IF($K$2="Non-Federal",Lists!$D$2:$D$812,Lists!$C$2:$C$812)),0)</f>
        <v>0</v>
      </c>
      <c r="M19" s="234">
        <f>IF(G19&gt;0,'BP3'!M19,)</f>
        <v>0</v>
      </c>
      <c r="N19" s="140">
        <f t="shared" ca="1" si="1"/>
        <v>0</v>
      </c>
      <c r="O19" s="141">
        <f ca="1">N19*LOOKUP($K$8,Lists!$A$2:$A$812,IF($K$2="Non-Federal",Lists!$D$2:$D$812,Lists!$C$2:$C$812))</f>
        <v>0</v>
      </c>
      <c r="P19" s="205">
        <f ca="1">IF($A$5&lt;='BP1'!$K$5,(1+$K$7)*INDIRECT("BP"&amp;$A$5-1&amp;"!P19"),)</f>
        <v>0</v>
      </c>
      <c r="Q19" s="205">
        <f t="shared" si="0"/>
        <v>0</v>
      </c>
      <c r="R19" s="117" t="s">
        <v>219</v>
      </c>
    </row>
    <row r="20" spans="1:18" s="2" customFormat="1" ht="14.25" hidden="1" customHeight="1">
      <c r="A20" s="184">
        <v>6</v>
      </c>
      <c r="B20" s="830">
        <f>IF($A$5&lt;=$K$5,'BP1'!B20,)</f>
        <v>0</v>
      </c>
      <c r="C20" s="831"/>
      <c r="D20" s="831"/>
      <c r="E20" s="831"/>
      <c r="F20" s="832"/>
      <c r="G20" s="229">
        <f>IF($A$5&lt;=$K$5,'BP1'!G20,)</f>
        <v>0</v>
      </c>
      <c r="H20" s="219">
        <f>IF($G20&gt;0,'BP3'!H20,)</f>
        <v>0</v>
      </c>
      <c r="I20" s="220">
        <f>IF($G20&gt;0,'BP3'!I20,)</f>
        <v>0</v>
      </c>
      <c r="J20" s="220">
        <f>IF($G20&gt;0,'BP3'!J20,)</f>
        <v>0</v>
      </c>
      <c r="K20" s="140">
        <f t="shared" ca="1" si="2"/>
        <v>0</v>
      </c>
      <c r="L20" s="141">
        <f ca="1">IF(K20&gt;3,K20*LOOKUP($K$8,Lists!$A$2:$A$812,IF($K$2="Non-Federal",Lists!$D$2:$D$812,Lists!$C$2:$C$812)),0)</f>
        <v>0</v>
      </c>
      <c r="M20" s="234">
        <f>IF(G20&gt;0,'BP3'!M20,)</f>
        <v>0</v>
      </c>
      <c r="N20" s="140">
        <f t="shared" ca="1" si="1"/>
        <v>0</v>
      </c>
      <c r="O20" s="141">
        <f ca="1">N20*LOOKUP($K$8,Lists!$A$2:$A$812,IF($K$2="Non-Federal",Lists!$D$2:$D$812,Lists!$C$2:$C$812))</f>
        <v>0</v>
      </c>
      <c r="P20" s="205">
        <f ca="1">IF($A$5&lt;='BP1'!$K$5,(1+$K$7)*INDIRECT("BP"&amp;$A$5-1&amp;"!P20"),)</f>
        <v>0</v>
      </c>
      <c r="Q20" s="205">
        <f t="shared" si="0"/>
        <v>0</v>
      </c>
      <c r="R20" s="117" t="s">
        <v>485</v>
      </c>
    </row>
    <row r="21" spans="1:18" s="2" customFormat="1" ht="14.25" hidden="1" customHeight="1">
      <c r="A21" s="184">
        <v>7</v>
      </c>
      <c r="B21" s="830">
        <f>IF($A$5&lt;=$K$5,'BP1'!B21,)</f>
        <v>0</v>
      </c>
      <c r="C21" s="831"/>
      <c r="D21" s="831"/>
      <c r="E21" s="831"/>
      <c r="F21" s="832"/>
      <c r="G21" s="229">
        <f>IF($A$5&lt;=$K$5,'BP1'!G21,)</f>
        <v>0</v>
      </c>
      <c r="H21" s="219">
        <f>IF($G21&gt;0,'BP3'!H21,)</f>
        <v>0</v>
      </c>
      <c r="I21" s="220">
        <f>IF($G21&gt;0,'BP3'!I21,)</f>
        <v>0</v>
      </c>
      <c r="J21" s="220">
        <f>IF($G21&gt;0,'BP3'!J21,)</f>
        <v>0</v>
      </c>
      <c r="K21" s="140">
        <f t="shared" ca="1" si="2"/>
        <v>0</v>
      </c>
      <c r="L21" s="141">
        <f ca="1">IF(K21&gt;3,K21*LOOKUP($K$8,Lists!$A$2:$A$812,IF($K$2="Non-Federal",Lists!$D$2:$D$812,Lists!$C$2:$C$812)),0)</f>
        <v>0</v>
      </c>
      <c r="M21" s="234">
        <f>IF(G21&gt;0,'BP3'!M21,)</f>
        <v>0</v>
      </c>
      <c r="N21" s="140">
        <f t="shared" ca="1" si="1"/>
        <v>0</v>
      </c>
      <c r="O21" s="141">
        <f ca="1">N21*LOOKUP($K$8,Lists!$A$2:$A$812,IF($K$2="Non-Federal",Lists!$D$2:$D$812,Lists!$C$2:$C$812))</f>
        <v>0</v>
      </c>
      <c r="P21" s="205">
        <f ca="1">IF($A$5&lt;='BP1'!$K$5,(1+$K$7)*INDIRECT("BP"&amp;$A$5-1&amp;"!P21"),)</f>
        <v>0</v>
      </c>
      <c r="Q21" s="205">
        <f t="shared" si="0"/>
        <v>0</v>
      </c>
      <c r="R21" s="117" t="s">
        <v>485</v>
      </c>
    </row>
    <row r="22" spans="1:18" s="2" customFormat="1" ht="14.25" hidden="1" customHeight="1">
      <c r="A22" s="184">
        <v>8</v>
      </c>
      <c r="B22" s="830">
        <f>IF($A$5&lt;=$K$5,'BP1'!B22,)</f>
        <v>0</v>
      </c>
      <c r="C22" s="831"/>
      <c r="D22" s="831"/>
      <c r="E22" s="831"/>
      <c r="F22" s="832"/>
      <c r="G22" s="229">
        <f>IF($A$5&lt;=$K$5,'BP1'!G22,)</f>
        <v>0</v>
      </c>
      <c r="H22" s="219">
        <f>IF($G22&gt;0,'BP3'!H22,)</f>
        <v>0</v>
      </c>
      <c r="I22" s="220">
        <f>IF($G22&gt;0,'BP3'!I22,)</f>
        <v>0</v>
      </c>
      <c r="J22" s="220">
        <f>IF($G22&gt;0,'BP3'!J22,)</f>
        <v>0</v>
      </c>
      <c r="K22" s="140">
        <f t="shared" ca="1" si="2"/>
        <v>0</v>
      </c>
      <c r="L22" s="141">
        <f ca="1">IF(K22&gt;3,K22*LOOKUP($K$8,Lists!$A$2:$A$812,IF($K$2="Non-Federal",Lists!$D$2:$D$812,Lists!$C$2:$C$812)),0)</f>
        <v>0</v>
      </c>
      <c r="M22" s="234">
        <f>IF(G22&gt;0,'BP3'!M22,)</f>
        <v>0</v>
      </c>
      <c r="N22" s="140">
        <f t="shared" ca="1" si="1"/>
        <v>0</v>
      </c>
      <c r="O22" s="141">
        <f ca="1">N22*LOOKUP($K$8,Lists!$A$2:$A$812,IF($K$2="Non-Federal",Lists!$D$2:$D$812,Lists!$C$2:$C$812))</f>
        <v>0</v>
      </c>
      <c r="P22" s="205">
        <f ca="1">IF($A$5&lt;='BP1'!$K$5,(1+$K$7)*INDIRECT("BP"&amp;$A$5-1&amp;"!P22"),)</f>
        <v>0</v>
      </c>
      <c r="Q22" s="205">
        <f t="shared" si="0"/>
        <v>0</v>
      </c>
      <c r="R22" s="117" t="s">
        <v>485</v>
      </c>
    </row>
    <row r="23" spans="1:18" s="2" customFormat="1" ht="14.25" hidden="1" customHeight="1">
      <c r="A23" s="184">
        <v>9</v>
      </c>
      <c r="B23" s="830">
        <f>IF($A$5&lt;=$K$5,'BP1'!B23,)</f>
        <v>0</v>
      </c>
      <c r="C23" s="831"/>
      <c r="D23" s="831"/>
      <c r="E23" s="831"/>
      <c r="F23" s="832"/>
      <c r="G23" s="229">
        <f>IF($A$5&lt;=$K$5,'BP1'!G23,)</f>
        <v>0</v>
      </c>
      <c r="H23" s="219">
        <f>IF($G23&gt;0,'BP3'!H23,)</f>
        <v>0</v>
      </c>
      <c r="I23" s="220">
        <f>IF($G23&gt;0,'BP3'!I23,)</f>
        <v>0</v>
      </c>
      <c r="J23" s="220">
        <f>IF($G23&gt;0,'BP3'!J23,)</f>
        <v>0</v>
      </c>
      <c r="K23" s="140">
        <f t="shared" ca="1" si="2"/>
        <v>0</v>
      </c>
      <c r="L23" s="141">
        <f ca="1">IF(K23&gt;3,K23*LOOKUP($K$8,Lists!$A$2:$A$812,IF($K$2="Non-Federal",Lists!$D$2:$D$812,Lists!$C$2:$C$812)),0)</f>
        <v>0</v>
      </c>
      <c r="M23" s="234">
        <f>IF(G23&gt;0,'BP3'!M23,)</f>
        <v>0</v>
      </c>
      <c r="N23" s="140">
        <f t="shared" ca="1" si="1"/>
        <v>0</v>
      </c>
      <c r="O23" s="141">
        <f ca="1">N23*LOOKUP($K$8,Lists!$A$2:$A$812,IF($K$2="Non-Federal",Lists!$D$2:$D$812,Lists!$C$2:$C$812))</f>
        <v>0</v>
      </c>
      <c r="P23" s="205">
        <f ca="1">IF($A$5&lt;='BP1'!$K$5,(1+$K$7)*INDIRECT("BP"&amp;$A$5-1&amp;"!P23"),)</f>
        <v>0</v>
      </c>
      <c r="Q23" s="205">
        <f t="shared" si="0"/>
        <v>0</v>
      </c>
      <c r="R23" s="117" t="s">
        <v>485</v>
      </c>
    </row>
    <row r="24" spans="1:18" s="2" customFormat="1" ht="14.25" hidden="1" customHeight="1">
      <c r="A24" s="184">
        <v>10</v>
      </c>
      <c r="B24" s="830">
        <f>IF($A$5&lt;=$K$5,'BP1'!B24,)</f>
        <v>0</v>
      </c>
      <c r="C24" s="831"/>
      <c r="D24" s="831"/>
      <c r="E24" s="831"/>
      <c r="F24" s="832"/>
      <c r="G24" s="229">
        <f>IF($A$5&lt;=$K$5,'BP1'!G24,)</f>
        <v>0</v>
      </c>
      <c r="H24" s="219">
        <f>IF($G24&gt;0,'BP3'!H24,)</f>
        <v>0</v>
      </c>
      <c r="I24" s="220">
        <f>IF($G24&gt;0,'BP3'!I24,)</f>
        <v>0</v>
      </c>
      <c r="J24" s="220">
        <f>IF($G24&gt;0,'BP3'!J24,)</f>
        <v>0</v>
      </c>
      <c r="K24" s="140">
        <f t="shared" ca="1" si="2"/>
        <v>0</v>
      </c>
      <c r="L24" s="141">
        <f ca="1">IF(K24&gt;3,K24*LOOKUP($K$8,Lists!$A$2:$A$812,IF($K$2="Non-Federal",Lists!$D$2:$D$812,Lists!$C$2:$C$812)),0)</f>
        <v>0</v>
      </c>
      <c r="M24" s="234">
        <f>IF(G24&gt;0,'BP3'!M24,)</f>
        <v>0</v>
      </c>
      <c r="N24" s="140">
        <f t="shared" ca="1" si="1"/>
        <v>0</v>
      </c>
      <c r="O24" s="141">
        <f ca="1">N24*LOOKUP($K$8,Lists!$A$2:$A$812,IF($K$2="Non-Federal",Lists!$D$2:$D$812,Lists!$C$2:$C$812))</f>
        <v>0</v>
      </c>
      <c r="P24" s="205">
        <f ca="1">IF($A$5&lt;='BP1'!$K$5,(1+$K$7)*INDIRECT("BP"&amp;$A$5-1&amp;"!P24"),)</f>
        <v>0</v>
      </c>
      <c r="Q24" s="205">
        <f t="shared" si="0"/>
        <v>0</v>
      </c>
      <c r="R24" s="117" t="s">
        <v>485</v>
      </c>
    </row>
    <row r="25" spans="1:18" s="2" customFormat="1" ht="14.25" hidden="1" customHeight="1">
      <c r="A25" s="184">
        <v>11</v>
      </c>
      <c r="B25" s="830">
        <f>IF($A$5&lt;=$K$5,'BP1'!B25,)</f>
        <v>0</v>
      </c>
      <c r="C25" s="831"/>
      <c r="D25" s="831"/>
      <c r="E25" s="831"/>
      <c r="F25" s="832"/>
      <c r="G25" s="229">
        <f>IF($A$5&lt;=$K$5,'BP1'!G25,)</f>
        <v>0</v>
      </c>
      <c r="H25" s="219">
        <f>IF($G25&gt;0,'BP3'!H25,)</f>
        <v>0</v>
      </c>
      <c r="I25" s="220">
        <f>IF($G25&gt;0,'BP3'!I25,)</f>
        <v>0</v>
      </c>
      <c r="J25" s="220">
        <f>IF($G25&gt;0,'BP3'!J25,)</f>
        <v>0</v>
      </c>
      <c r="K25" s="140">
        <f t="shared" ca="1" si="2"/>
        <v>0</v>
      </c>
      <c r="L25" s="141">
        <f ca="1">IF(K25&gt;3,K25*LOOKUP($K$8,Lists!$A$2:$A$812,IF($K$2="Non-Federal",Lists!$D$2:$D$812,Lists!$C$2:$C$812)),0)</f>
        <v>0</v>
      </c>
      <c r="M25" s="234">
        <f>IF(G25&gt;0,'BP3'!M25,)</f>
        <v>0</v>
      </c>
      <c r="N25" s="140">
        <f t="shared" ca="1" si="1"/>
        <v>0</v>
      </c>
      <c r="O25" s="141">
        <f ca="1">N25*LOOKUP($K$8,Lists!$A$2:$A$812,IF($K$2="Non-Federal",Lists!$D$2:$D$812,Lists!$C$2:$C$812))</f>
        <v>0</v>
      </c>
      <c r="P25" s="205">
        <f ca="1">IF($A$5&lt;='BP1'!$K$5,(1+$K$7)*INDIRECT("BP"&amp;$A$5-1&amp;"!P25"),)</f>
        <v>0</v>
      </c>
      <c r="Q25" s="205">
        <f t="shared" si="0"/>
        <v>0</v>
      </c>
      <c r="R25" s="117" t="s">
        <v>486</v>
      </c>
    </row>
    <row r="26" spans="1:18" s="2" customFormat="1" ht="14.25" hidden="1" customHeight="1">
      <c r="A26" s="184">
        <v>12</v>
      </c>
      <c r="B26" s="830">
        <f>IF($A$5&lt;=$K$5,'BP1'!B26,)</f>
        <v>0</v>
      </c>
      <c r="C26" s="831"/>
      <c r="D26" s="831"/>
      <c r="E26" s="831"/>
      <c r="F26" s="832"/>
      <c r="G26" s="229">
        <f>IF($A$5&lt;=$K$5,'BP1'!G26,)</f>
        <v>0</v>
      </c>
      <c r="H26" s="219">
        <f>IF($G26&gt;0,'BP3'!H26,)</f>
        <v>0</v>
      </c>
      <c r="I26" s="220">
        <f>IF($G26&gt;0,'BP3'!I26,)</f>
        <v>0</v>
      </c>
      <c r="J26" s="220">
        <f>IF($G26&gt;0,'BP3'!J26,)</f>
        <v>0</v>
      </c>
      <c r="K26" s="140">
        <f t="shared" ca="1" si="2"/>
        <v>0</v>
      </c>
      <c r="L26" s="141">
        <f ca="1">IF(K26&gt;3,K26*LOOKUP($K$8,Lists!$A$2:$A$812,IF($K$2="Non-Federal",Lists!$D$2:$D$812,Lists!$C$2:$C$812)),0)</f>
        <v>0</v>
      </c>
      <c r="M26" s="234">
        <f>IF(G26&gt;0,'BP3'!M26,)</f>
        <v>0</v>
      </c>
      <c r="N26" s="140">
        <f t="shared" ca="1" si="1"/>
        <v>0</v>
      </c>
      <c r="O26" s="141">
        <f ca="1">N26*LOOKUP($K$8,Lists!$A$2:$A$812,IF($K$2="Non-Federal",Lists!$D$2:$D$812,Lists!$C$2:$C$812))</f>
        <v>0</v>
      </c>
      <c r="P26" s="205">
        <f ca="1">IF($A$5&lt;='BP1'!$K$5,(1+$K$7)*INDIRECT("BP"&amp;$A$5-1&amp;"!P26"),)</f>
        <v>0</v>
      </c>
      <c r="Q26" s="205">
        <f t="shared" si="0"/>
        <v>0</v>
      </c>
      <c r="R26" s="117" t="s">
        <v>486</v>
      </c>
    </row>
    <row r="27" spans="1:18" s="2" customFormat="1" ht="14.25" hidden="1" customHeight="1">
      <c r="A27" s="184">
        <v>13</v>
      </c>
      <c r="B27" s="830">
        <f>IF($A$5&lt;=$K$5,'BP1'!B27,)</f>
        <v>0</v>
      </c>
      <c r="C27" s="831"/>
      <c r="D27" s="831"/>
      <c r="E27" s="831"/>
      <c r="F27" s="832"/>
      <c r="G27" s="229">
        <f>IF($A$5&lt;=$K$5,'BP1'!G27,)</f>
        <v>0</v>
      </c>
      <c r="H27" s="219">
        <f>IF($G27&gt;0,'BP3'!H27,)</f>
        <v>0</v>
      </c>
      <c r="I27" s="220">
        <f>IF($G27&gt;0,'BP3'!I27,)</f>
        <v>0</v>
      </c>
      <c r="J27" s="220">
        <f>IF($G27&gt;0,'BP3'!J27,)</f>
        <v>0</v>
      </c>
      <c r="K27" s="140">
        <f t="shared" ca="1" si="2"/>
        <v>0</v>
      </c>
      <c r="L27" s="141">
        <f ca="1">IF(K27&gt;3,K27*LOOKUP($K$8,Lists!$A$2:$A$812,IF($K$2="Non-Federal",Lists!$D$2:$D$812,Lists!$C$2:$C$812)),0)</f>
        <v>0</v>
      </c>
      <c r="M27" s="234">
        <f>IF(G27&gt;0,'BP3'!M27,)</f>
        <v>0</v>
      </c>
      <c r="N27" s="140">
        <f t="shared" ca="1" si="1"/>
        <v>0</v>
      </c>
      <c r="O27" s="141">
        <f ca="1">N27*LOOKUP($K$8,Lists!$A$2:$A$812,IF($K$2="Non-Federal",Lists!$D$2:$D$812,Lists!$C$2:$C$812))</f>
        <v>0</v>
      </c>
      <c r="P27" s="205">
        <f ca="1">IF($A$5&lt;='BP1'!$K$5,(1+$K$7)*INDIRECT("BP"&amp;$A$5-1&amp;"!P27"),)</f>
        <v>0</v>
      </c>
      <c r="Q27" s="205">
        <f t="shared" si="0"/>
        <v>0</v>
      </c>
      <c r="R27" s="117" t="s">
        <v>486</v>
      </c>
    </row>
    <row r="28" spans="1:18" s="2" customFormat="1" ht="14.25" hidden="1" customHeight="1">
      <c r="A28" s="184">
        <v>14</v>
      </c>
      <c r="B28" s="830">
        <f>IF($A$5&lt;=$K$5,'BP1'!B28,)</f>
        <v>0</v>
      </c>
      <c r="C28" s="831"/>
      <c r="D28" s="831"/>
      <c r="E28" s="831"/>
      <c r="F28" s="832"/>
      <c r="G28" s="229">
        <f>IF($A$5&lt;=$K$5,'BP1'!G28,)</f>
        <v>0</v>
      </c>
      <c r="H28" s="219">
        <f>IF($G28&gt;0,'BP3'!H28,)</f>
        <v>0</v>
      </c>
      <c r="I28" s="220">
        <f>IF($G28&gt;0,'BP3'!I28,)</f>
        <v>0</v>
      </c>
      <c r="J28" s="220">
        <f>IF($G28&gt;0,'BP3'!J28,)</f>
        <v>0</v>
      </c>
      <c r="K28" s="140">
        <f t="shared" ca="1" si="2"/>
        <v>0</v>
      </c>
      <c r="L28" s="141">
        <f ca="1">IF(K28&gt;3,K28*LOOKUP($K$8,Lists!$A$2:$A$812,IF($K$2="Non-Federal",Lists!$D$2:$D$812,Lists!$C$2:$C$812)),0)</f>
        <v>0</v>
      </c>
      <c r="M28" s="234">
        <f>IF(G28&gt;0,'BP3'!M28,)</f>
        <v>0</v>
      </c>
      <c r="N28" s="140">
        <f t="shared" ca="1" si="1"/>
        <v>0</v>
      </c>
      <c r="O28" s="141">
        <f ca="1">N28*LOOKUP($K$8,Lists!$A$2:$A$812,IF($K$2="Non-Federal",Lists!$D$2:$D$812,Lists!$C$2:$C$812))</f>
        <v>0</v>
      </c>
      <c r="P28" s="205">
        <f ca="1">IF($A$5&lt;='BP1'!$K$5,(1+$K$7)*INDIRECT("BP"&amp;$A$5-1&amp;"!P28"),)</f>
        <v>0</v>
      </c>
      <c r="Q28" s="205">
        <f t="shared" si="0"/>
        <v>0</v>
      </c>
      <c r="R28" s="117" t="s">
        <v>486</v>
      </c>
    </row>
    <row r="29" spans="1:18" s="2" customFormat="1" ht="14.25" hidden="1" customHeight="1">
      <c r="A29" s="184">
        <v>15</v>
      </c>
      <c r="B29" s="830">
        <f>IF($A$5&lt;=$K$5,'BP1'!B29,)</f>
        <v>0</v>
      </c>
      <c r="C29" s="831"/>
      <c r="D29" s="831"/>
      <c r="E29" s="831"/>
      <c r="F29" s="832"/>
      <c r="G29" s="229">
        <f>IF($A$5&lt;=$K$5,'BP1'!G29,)</f>
        <v>0</v>
      </c>
      <c r="H29" s="219">
        <f>IF($G29&gt;0,'BP3'!H29,)</f>
        <v>0</v>
      </c>
      <c r="I29" s="220">
        <f>IF($G29&gt;0,'BP3'!I29,)</f>
        <v>0</v>
      </c>
      <c r="J29" s="220">
        <f>IF($G29&gt;0,'BP3'!J29,)</f>
        <v>0</v>
      </c>
      <c r="K29" s="140">
        <f t="shared" ca="1" si="2"/>
        <v>0</v>
      </c>
      <c r="L29" s="141">
        <f ca="1">IF(K29&gt;3,K29*LOOKUP($K$8,Lists!$A$2:$A$812,IF($K$2="Non-Federal",Lists!$D$2:$D$812,Lists!$C$2:$C$812)),0)</f>
        <v>0</v>
      </c>
      <c r="M29" s="234">
        <f>IF(G29&gt;0,'BP3'!M29,)</f>
        <v>0</v>
      </c>
      <c r="N29" s="140">
        <f t="shared" ca="1" si="1"/>
        <v>0</v>
      </c>
      <c r="O29" s="141">
        <f ca="1">N29*LOOKUP($K$8,Lists!$A$2:$A$812,IF($K$2="Non-Federal",Lists!$D$2:$D$812,Lists!$C$2:$C$812))</f>
        <v>0</v>
      </c>
      <c r="P29" s="205">
        <f ca="1">IF($A$5&lt;='BP1'!$K$5,(1+$K$7)*INDIRECT("BP"&amp;$A$5-1&amp;"!P29"),)</f>
        <v>0</v>
      </c>
      <c r="Q29" s="205">
        <f t="shared" si="0"/>
        <v>0</v>
      </c>
      <c r="R29" s="117" t="s">
        <v>486</v>
      </c>
    </row>
    <row r="30" spans="1:18" s="2" customFormat="1" ht="14.25" customHeight="1">
      <c r="A30" s="742" t="s">
        <v>203</v>
      </c>
      <c r="B30" s="743"/>
      <c r="C30" s="743"/>
      <c r="D30" s="743"/>
      <c r="E30" s="743"/>
      <c r="F30" s="744"/>
      <c r="G30" s="17"/>
      <c r="H30" s="200">
        <f t="shared" ref="H30:O30" si="3">SUM(H15:H29)</f>
        <v>0</v>
      </c>
      <c r="I30" s="200">
        <f t="shared" si="3"/>
        <v>0</v>
      </c>
      <c r="J30" s="200">
        <f t="shared" si="3"/>
        <v>0</v>
      </c>
      <c r="K30" s="141">
        <f t="shared" ca="1" si="3"/>
        <v>0</v>
      </c>
      <c r="L30" s="141">
        <f t="shared" ca="1" si="3"/>
        <v>0</v>
      </c>
      <c r="M30" s="234">
        <f t="shared" si="3"/>
        <v>0</v>
      </c>
      <c r="N30" s="142">
        <f t="shared" ca="1" si="3"/>
        <v>0</v>
      </c>
      <c r="O30" s="141">
        <f t="shared" ca="1" si="3"/>
        <v>0</v>
      </c>
      <c r="P30" s="59"/>
      <c r="Q30" s="327"/>
      <c r="R30" s="117" t="s">
        <v>219</v>
      </c>
    </row>
    <row r="31" spans="1:18" s="2" customFormat="1" ht="14.25" customHeight="1">
      <c r="A31" s="185" t="s">
        <v>204</v>
      </c>
      <c r="B31" s="180"/>
      <c r="C31" s="180"/>
      <c r="D31" s="182"/>
      <c r="E31" s="182"/>
      <c r="F31" s="182"/>
      <c r="G31" s="18"/>
      <c r="H31" s="15"/>
      <c r="I31" s="16"/>
      <c r="J31" s="16"/>
      <c r="K31" s="57"/>
      <c r="L31" s="57"/>
      <c r="M31" s="358"/>
      <c r="N31" s="26"/>
      <c r="O31" s="27"/>
      <c r="P31" s="195" t="s">
        <v>109</v>
      </c>
      <c r="Q31" s="328"/>
      <c r="R31" s="117" t="s">
        <v>219</v>
      </c>
    </row>
    <row r="32" spans="1:18" s="2" customFormat="1" ht="14.25" customHeight="1">
      <c r="A32" s="185" t="s">
        <v>3</v>
      </c>
      <c r="B32" s="381">
        <f>IF($A$5&lt;=$K$5,'BP3'!B32,0)</f>
        <v>0</v>
      </c>
      <c r="C32" s="180" t="s">
        <v>457</v>
      </c>
      <c r="D32" s="182" t="str">
        <f>"Postdoctoral Associate"&amp;IF(B32&gt;0,"s",)</f>
        <v>Postdoctoral Associate</v>
      </c>
      <c r="E32" s="182"/>
      <c r="F32" s="182"/>
      <c r="G32" s="436">
        <v>12</v>
      </c>
      <c r="H32" s="198">
        <f>IF($A$5&lt;=$K$5,(IF('BP3'!H32&lt;&gt;'BP3'!B32*12,'BP3'!H32,B32*12)),0)</f>
        <v>0</v>
      </c>
      <c r="I32" s="199"/>
      <c r="J32" s="199"/>
      <c r="K32" s="140">
        <f t="shared" ref="K32:K40" ca="1" si="4">IFERROR(P32/12*H32,)</f>
        <v>0</v>
      </c>
      <c r="L32" s="141">
        <f>IF($A$5&lt;=$K$5,K32*LOOKUP($K$8,Lists!$A$2:$A$812,IF('BP1'!$K$2="Non-Federal",Lists!$D$2:$D$812,Lists!$C$2:$C$812)),0)</f>
        <v>0</v>
      </c>
      <c r="M32" s="234">
        <f>IF(B32&gt;0,'BP3'!M32,)</f>
        <v>0</v>
      </c>
      <c r="N32" s="140">
        <f ca="1">IFERROR(P32/12*M32,)</f>
        <v>0</v>
      </c>
      <c r="O32" s="141">
        <f ca="1">N32*LOOKUP($K$8,Lists!$A$2:$A$812,IF($K$2="Non-Federal",Lists!$D$2:$D$812,Lists!$C$2:$C$812))</f>
        <v>0</v>
      </c>
      <c r="P32" s="205">
        <f ca="1">IF($A$5&lt;=$K$5,INDIRECT("BP"&amp;$A$5-1&amp;"!P32")*(1+$K$7),0)</f>
        <v>0</v>
      </c>
      <c r="Q32" s="326"/>
      <c r="R32" s="117" t="s">
        <v>219</v>
      </c>
    </row>
    <row r="33" spans="1:18" s="2" customFormat="1" ht="14.25" customHeight="1">
      <c r="A33" s="185" t="s">
        <v>488</v>
      </c>
      <c r="B33" s="381">
        <f>IF($A$5&lt;=$K$5,'BP3'!B33,0)</f>
        <v>0</v>
      </c>
      <c r="C33" s="180" t="s">
        <v>457</v>
      </c>
      <c r="D33" s="182" t="str">
        <f>'BP1'!D33</f>
        <v>Other Professional</v>
      </c>
      <c r="E33" s="182"/>
      <c r="F33" s="182"/>
      <c r="G33" s="436">
        <v>12</v>
      </c>
      <c r="H33" s="198">
        <f>IF($A$5&lt;=$K$5,(IF('BP3'!H33&lt;&gt;'BP3'!B33*12,'BP3'!H33,B33*12)),0)</f>
        <v>0</v>
      </c>
      <c r="I33" s="199"/>
      <c r="J33" s="199"/>
      <c r="K33" s="140">
        <f t="shared" ca="1" si="4"/>
        <v>0</v>
      </c>
      <c r="L33" s="141">
        <f>IF($A$5&lt;=$K$5,K33*LOOKUP($K$8,Lists!$A$2:$A$812,IF('BP1'!$K$2="Non-Federal",Lists!$D$2:$D$812,Lists!$C$2:$C$812)),0)</f>
        <v>0</v>
      </c>
      <c r="M33" s="234">
        <f>IF(B33&gt;0,'BP3'!M33,)</f>
        <v>0</v>
      </c>
      <c r="N33" s="140">
        <f t="shared" ref="N33:N40" ca="1" si="5">IFERROR(P33/12*M33,)</f>
        <v>0</v>
      </c>
      <c r="O33" s="141">
        <f ca="1">N33*LOOKUP($K$8,Lists!$A$2:$A$812,IF($K$2="Non-Federal",Lists!$D$2:$D$812,Lists!$C$2:$C$812))</f>
        <v>0</v>
      </c>
      <c r="P33" s="205">
        <f ca="1">IF($A$5&lt;=$K$5,INDIRECT("BP"&amp;$A$5-1&amp;"!P33")*(1+$K$7),0)</f>
        <v>0</v>
      </c>
      <c r="Q33" s="326"/>
      <c r="R33" s="117" t="s">
        <v>219</v>
      </c>
    </row>
    <row r="34" spans="1:18" s="2" customFormat="1" ht="14.25" hidden="1" customHeight="1">
      <c r="A34" s="185" t="s">
        <v>489</v>
      </c>
      <c r="B34" s="381">
        <f>IF($A$5&lt;=$K$5,'BP3'!B34,0)</f>
        <v>0</v>
      </c>
      <c r="C34" s="180" t="s">
        <v>457</v>
      </c>
      <c r="D34" s="182" t="str">
        <f>'BP1'!D34</f>
        <v>Other Professional</v>
      </c>
      <c r="E34" s="182"/>
      <c r="F34" s="182"/>
      <c r="G34" s="436">
        <v>12</v>
      </c>
      <c r="H34" s="198">
        <f>IF($A$5&lt;=$K$5,(IF('BP3'!H34&lt;&gt;'BP3'!B34*12,'BP3'!H34,B34*12)),0)</f>
        <v>0</v>
      </c>
      <c r="I34" s="199"/>
      <c r="J34" s="199"/>
      <c r="K34" s="140">
        <f t="shared" ca="1" si="4"/>
        <v>0</v>
      </c>
      <c r="L34" s="141">
        <f>IF($A$5&lt;=$K$5,K34*LOOKUP($K$8,Lists!$A$2:$A$812,IF('BP1'!$K$2="Non-Federal",Lists!$D$2:$D$812,Lists!$C$2:$C$812)),0)</f>
        <v>0</v>
      </c>
      <c r="M34" s="234">
        <f>IF(B34&gt;0,'BP3'!M34,)</f>
        <v>0</v>
      </c>
      <c r="N34" s="140">
        <f t="shared" ca="1" si="5"/>
        <v>0</v>
      </c>
      <c r="O34" s="141">
        <f ca="1">N34*LOOKUP($K$8,Lists!$A$2:$A$812,IF($K$2="Non-Federal",Lists!$D$2:$D$812,Lists!$C$2:$C$812))</f>
        <v>0</v>
      </c>
      <c r="P34" s="205">
        <f ca="1">IF($A$5&lt;=$K$5,INDIRECT("BP"&amp;$A$5-1&amp;"!P34")*(1+$K$7),0)</f>
        <v>0</v>
      </c>
      <c r="Q34" s="326"/>
      <c r="R34" s="117" t="s">
        <v>493</v>
      </c>
    </row>
    <row r="35" spans="1:18" s="2" customFormat="1" ht="14.25" hidden="1" customHeight="1">
      <c r="A35" s="185" t="s">
        <v>490</v>
      </c>
      <c r="B35" s="381">
        <f>IF($A$5&lt;=$K$5,'BP3'!B35,0)</f>
        <v>0</v>
      </c>
      <c r="C35" s="180" t="s">
        <v>457</v>
      </c>
      <c r="D35" s="182" t="str">
        <f>'BP1'!D35</f>
        <v>Other Professional</v>
      </c>
      <c r="E35" s="182"/>
      <c r="F35" s="182"/>
      <c r="G35" s="436">
        <v>12</v>
      </c>
      <c r="H35" s="198">
        <f>IF($A$5&lt;=$K$5,(IF('BP3'!H35&lt;&gt;'BP3'!B35*12,'BP3'!H35,B35*12)),0)</f>
        <v>0</v>
      </c>
      <c r="I35" s="199"/>
      <c r="J35" s="199"/>
      <c r="K35" s="140">
        <f t="shared" ca="1" si="4"/>
        <v>0</v>
      </c>
      <c r="L35" s="141">
        <f>IF($A$5&lt;=$K$5,K35*LOOKUP($K$8,Lists!$A$2:$A$812,IF('BP1'!$K$2="Non-Federal",Lists!$D$2:$D$812,Lists!$C$2:$C$812)),0)</f>
        <v>0</v>
      </c>
      <c r="M35" s="234">
        <f>IF(B35&gt;0,'BP3'!M35,)</f>
        <v>0</v>
      </c>
      <c r="N35" s="140">
        <f t="shared" ca="1" si="5"/>
        <v>0</v>
      </c>
      <c r="O35" s="141">
        <f ca="1">N35*LOOKUP($K$8,Lists!$A$2:$A$812,IF($K$2="Non-Federal",Lists!$D$2:$D$812,Lists!$C$2:$C$812))</f>
        <v>0</v>
      </c>
      <c r="P35" s="205">
        <f ca="1">IF($A$5&lt;=$K$5,INDIRECT("BP"&amp;$A$5-1&amp;"!P35")*(1+$K$7),0)</f>
        <v>0</v>
      </c>
      <c r="Q35" s="326"/>
      <c r="R35" s="117" t="s">
        <v>493</v>
      </c>
    </row>
    <row r="36" spans="1:18" s="2" customFormat="1" ht="14.25" hidden="1" customHeight="1">
      <c r="A36" s="185" t="s">
        <v>491</v>
      </c>
      <c r="B36" s="381">
        <f>IF($A$5&lt;=$K$5,'BP3'!B36,0)</f>
        <v>0</v>
      </c>
      <c r="C36" s="180" t="s">
        <v>457</v>
      </c>
      <c r="D36" s="182" t="str">
        <f>'BP1'!D36</f>
        <v>Other Professional</v>
      </c>
      <c r="E36" s="182"/>
      <c r="F36" s="182"/>
      <c r="G36" s="436">
        <v>12</v>
      </c>
      <c r="H36" s="198">
        <f>IF($A$5&lt;=$K$5,(IF('BP3'!H36&lt;&gt;'BP3'!B36*12,'BP3'!H36,B36*12)),0)</f>
        <v>0</v>
      </c>
      <c r="I36" s="199"/>
      <c r="J36" s="199"/>
      <c r="K36" s="140">
        <f t="shared" ca="1" si="4"/>
        <v>0</v>
      </c>
      <c r="L36" s="141">
        <f>IF($A$5&lt;=$K$5,K36*LOOKUP($K$8,Lists!$A$2:$A$812,IF('BP1'!$K$2="Non-Federal",Lists!$D$2:$D$812,Lists!$C$2:$C$812)),0)</f>
        <v>0</v>
      </c>
      <c r="M36" s="234">
        <f>IF(B36&gt;0,'BP3'!M36,)</f>
        <v>0</v>
      </c>
      <c r="N36" s="140">
        <f t="shared" ca="1" si="5"/>
        <v>0</v>
      </c>
      <c r="O36" s="141">
        <f ca="1">N36*LOOKUP($K$8,Lists!$A$2:$A$812,IF($K$2="Non-Federal",Lists!$D$2:$D$812,Lists!$C$2:$C$812))</f>
        <v>0</v>
      </c>
      <c r="P36" s="205">
        <f ca="1">IF($A$5&lt;=$K$5,INDIRECT("BP"&amp;$A$5-1&amp;"!P36")*(1+$K$7),0)</f>
        <v>0</v>
      </c>
      <c r="Q36" s="326"/>
      <c r="R36" s="117" t="s">
        <v>493</v>
      </c>
    </row>
    <row r="37" spans="1:18" s="2" customFormat="1" ht="14.25" hidden="1" customHeight="1">
      <c r="A37" s="185" t="s">
        <v>492</v>
      </c>
      <c r="B37" s="381">
        <f>IF($A$5&lt;=$K$5,'BP3'!B37,0)</f>
        <v>0</v>
      </c>
      <c r="C37" s="180" t="s">
        <v>457</v>
      </c>
      <c r="D37" s="182" t="str">
        <f>'BP1'!D37</f>
        <v>Other Professional</v>
      </c>
      <c r="E37" s="182"/>
      <c r="F37" s="182"/>
      <c r="G37" s="436">
        <v>12</v>
      </c>
      <c r="H37" s="198">
        <f>IF($A$5&lt;=$K$5,(IF('BP3'!H37&lt;&gt;'BP3'!B37*12,'BP3'!H37,B37*12)),0)</f>
        <v>0</v>
      </c>
      <c r="I37" s="199"/>
      <c r="J37" s="199"/>
      <c r="K37" s="140">
        <f t="shared" ca="1" si="4"/>
        <v>0</v>
      </c>
      <c r="L37" s="141">
        <f>IF($A$5&lt;=$K$5,K37*LOOKUP($K$8,Lists!$A$2:$A$812,IF('BP1'!$K$2="Non-Federal",Lists!$D$2:$D$812,Lists!$C$2:$C$812)),0)</f>
        <v>0</v>
      </c>
      <c r="M37" s="234">
        <f>IF(B37&gt;0,'BP3'!M37,)</f>
        <v>0</v>
      </c>
      <c r="N37" s="140">
        <f t="shared" ca="1" si="5"/>
        <v>0</v>
      </c>
      <c r="O37" s="141">
        <f ca="1">N37*LOOKUP($K$8,Lists!$A$2:$A$812,IF($K$2="Non-Federal",Lists!$D$2:$D$812,Lists!$C$2:$C$812))</f>
        <v>0</v>
      </c>
      <c r="P37" s="205">
        <f ca="1">IF($A$5&lt;=$K$5,INDIRECT("BP"&amp;$A$5-1&amp;"!P37")*(1+$K$7),0)</f>
        <v>0</v>
      </c>
      <c r="Q37" s="326"/>
      <c r="R37" s="117" t="s">
        <v>493</v>
      </c>
    </row>
    <row r="38" spans="1:18" s="2" customFormat="1" ht="14.25" customHeight="1">
      <c r="A38" s="185" t="s">
        <v>4</v>
      </c>
      <c r="B38" s="381">
        <f>IF($A$5&lt;=$K$5,'BP3'!B38,0)</f>
        <v>0</v>
      </c>
      <c r="C38" s="180" t="s">
        <v>457</v>
      </c>
      <c r="D38" s="182" t="str">
        <f>"Graduate Student"&amp;IF(B38&gt;0,"s",)</f>
        <v>Graduate Student</v>
      </c>
      <c r="E38" s="182"/>
      <c r="F38" s="182"/>
      <c r="G38" s="436">
        <v>12</v>
      </c>
      <c r="H38" s="198">
        <f>IF($A$5&lt;=$K$5,(IF('BP3'!H38&lt;&gt;'BP3'!B38*12,'BP3'!H38,B38*12)),0)</f>
        <v>0</v>
      </c>
      <c r="I38" s="199"/>
      <c r="J38" s="199"/>
      <c r="K38" s="140">
        <f t="shared" ca="1" si="4"/>
        <v>0</v>
      </c>
      <c r="L38" s="141">
        <f>IF($A$5&lt;=$K$5,K38*LOOKUP($K$8,Lists!$A$2:$A$812,Lists!$F$2:$F$812),0)</f>
        <v>0</v>
      </c>
      <c r="M38" s="234">
        <f>IF(B38&gt;0,'BP3'!M38,)</f>
        <v>0</v>
      </c>
      <c r="N38" s="140">
        <f t="shared" ca="1" si="5"/>
        <v>0</v>
      </c>
      <c r="O38" s="141">
        <f ca="1">N38*LOOKUP($K$8,Lists!$A$2:$A$812,Lists!$F$2:$F$812)</f>
        <v>0</v>
      </c>
      <c r="P38" s="205">
        <f ca="1">IF($A$5&lt;=$K$5,INDIRECT("BP"&amp;$A$5-1&amp;"!P38")*(1+$K$7),0)</f>
        <v>0</v>
      </c>
      <c r="Q38" s="326"/>
      <c r="R38" s="117" t="s">
        <v>219</v>
      </c>
    </row>
    <row r="39" spans="1:18" s="2" customFormat="1" ht="14.25" customHeight="1">
      <c r="A39" s="185" t="s">
        <v>5</v>
      </c>
      <c r="B39" s="381">
        <f>IF($A$5&lt;=$K$5,'BP3'!B39,0)</f>
        <v>0</v>
      </c>
      <c r="C39" s="180" t="s">
        <v>457</v>
      </c>
      <c r="D39" s="182" t="str">
        <f>"Undergraduate Student"&amp;IF(B39&gt;0,"s",)</f>
        <v>Undergraduate Student</v>
      </c>
      <c r="E39" s="182"/>
      <c r="F39" s="182"/>
      <c r="G39" s="436">
        <v>12</v>
      </c>
      <c r="H39" s="198">
        <f>IF($A$5&lt;=$K$5,(IF('BP3'!H39&lt;&gt;'BP3'!B39*12,'BP3'!H39,B39*12)),0)</f>
        <v>0</v>
      </c>
      <c r="I39" s="199"/>
      <c r="J39" s="199"/>
      <c r="K39" s="140">
        <f t="shared" ca="1" si="4"/>
        <v>0</v>
      </c>
      <c r="L39" s="199"/>
      <c r="M39" s="234">
        <f>IF(B39&gt;0,'BP3'!M39,)</f>
        <v>0</v>
      </c>
      <c r="N39" s="140">
        <f ca="1">IFERROR(P39/12*M39,)</f>
        <v>0</v>
      </c>
      <c r="O39" s="199"/>
      <c r="P39" s="205">
        <f ca="1">IF($A$5&lt;=$K$5,INDIRECT("BP"&amp;$A$5-1&amp;"!P39")*(1+$K$7),0)</f>
        <v>0</v>
      </c>
      <c r="Q39" s="326"/>
      <c r="R39" s="117" t="s">
        <v>219</v>
      </c>
    </row>
    <row r="40" spans="1:18" s="2" customFormat="1" ht="14.25" customHeight="1" thickBot="1">
      <c r="A40" s="185" t="s">
        <v>6</v>
      </c>
      <c r="B40" s="381">
        <f>IF($A$5&lt;=$K$5,'BP3'!B40,0)</f>
        <v>0</v>
      </c>
      <c r="C40" s="180" t="s">
        <v>457</v>
      </c>
      <c r="D40" s="182" t="str">
        <f>"Other"&amp;IF(B40&gt;0,"s",)&amp;" (Carrying Statutory Benefits)"</f>
        <v>Other (Carrying Statutory Benefits)</v>
      </c>
      <c r="E40" s="182"/>
      <c r="F40" s="182"/>
      <c r="G40" s="436">
        <v>12</v>
      </c>
      <c r="H40" s="198">
        <f>IF($A$5&lt;=$K$5,(IF('BP3'!H40&lt;&gt;'BP3'!B40*12,'BP3'!H40,B40*12)),0)</f>
        <v>0</v>
      </c>
      <c r="I40" s="199"/>
      <c r="J40" s="199"/>
      <c r="K40" s="140">
        <f t="shared" ca="1" si="4"/>
        <v>0</v>
      </c>
      <c r="L40" s="141">
        <f>IF($A$5&lt;=$K$5,K40*LOOKUP($K$8,Lists!$A$2:$A$812,Lists!$E$2:$E$812),0)</f>
        <v>0</v>
      </c>
      <c r="M40" s="234">
        <f>IF(B40&gt;0,'BP3'!M40,)</f>
        <v>0</v>
      </c>
      <c r="N40" s="140">
        <f t="shared" ca="1" si="5"/>
        <v>0</v>
      </c>
      <c r="O40" s="141">
        <f ca="1">N40*LOOKUP($K$8,Lists!$A$2:$A$812,Lists!$E$2:$E$812)</f>
        <v>0</v>
      </c>
      <c r="P40" s="205">
        <f ca="1">IF($A$5&lt;=$K$5,INDIRECT("BP"&amp;$A$5-1&amp;"!P40")*(1+$K$7),0)</f>
        <v>0</v>
      </c>
      <c r="Q40" s="326"/>
      <c r="R40" s="117" t="s">
        <v>219</v>
      </c>
    </row>
    <row r="41" spans="1:18" s="2" customFormat="1" ht="14.25" customHeight="1" thickBot="1">
      <c r="A41" s="163"/>
      <c r="B41" s="180" t="s">
        <v>90</v>
      </c>
      <c r="C41" s="164"/>
      <c r="D41" s="158"/>
      <c r="E41" s="158"/>
      <c r="F41" s="158"/>
      <c r="G41" s="158"/>
      <c r="H41" s="165"/>
      <c r="I41" s="166"/>
      <c r="J41" s="164"/>
      <c r="K41" s="752">
        <f>IF($A$5&lt;=$K$5,SUM(K30:K40),0)</f>
        <v>0</v>
      </c>
      <c r="L41" s="753"/>
      <c r="M41" s="231"/>
      <c r="N41" s="767">
        <f ca="1">SUM(N30:N40)</f>
        <v>0</v>
      </c>
      <c r="O41" s="772"/>
      <c r="R41" s="117" t="s">
        <v>219</v>
      </c>
    </row>
    <row r="42" spans="1:18" s="2" customFormat="1" ht="14.25" customHeight="1" thickBot="1">
      <c r="A42" s="185" t="s">
        <v>91</v>
      </c>
      <c r="B42" s="164"/>
      <c r="C42" s="164"/>
      <c r="D42" s="156"/>
      <c r="E42" s="156"/>
      <c r="F42" s="167"/>
      <c r="G42" s="168"/>
      <c r="H42" s="169"/>
      <c r="I42" s="166"/>
      <c r="J42" s="164"/>
      <c r="K42" s="752">
        <f>IF($A$5&lt;=$K$5,SUM(L30:L40),0)</f>
        <v>0</v>
      </c>
      <c r="L42" s="753"/>
      <c r="M42" s="231"/>
      <c r="N42" s="767">
        <f ca="1">SUM(O30:O40)</f>
        <v>0</v>
      </c>
      <c r="O42" s="772"/>
      <c r="R42" s="117" t="s">
        <v>219</v>
      </c>
    </row>
    <row r="43" spans="1:18" s="2" customFormat="1" ht="14.25" customHeight="1" thickBot="1">
      <c r="A43" s="148"/>
      <c r="B43" s="186" t="s">
        <v>206</v>
      </c>
      <c r="C43" s="149"/>
      <c r="D43" s="150"/>
      <c r="E43" s="150"/>
      <c r="F43" s="150"/>
      <c r="G43" s="150"/>
      <c r="H43" s="149"/>
      <c r="I43" s="149"/>
      <c r="J43" s="149"/>
      <c r="K43" s="752">
        <f>IF($A$5&lt;=$K$5,SUM(K41:K42),0)</f>
        <v>0</v>
      </c>
      <c r="L43" s="753"/>
      <c r="M43" s="231"/>
      <c r="N43" s="767">
        <f ca="1">SUM(N41:N42)</f>
        <v>0</v>
      </c>
      <c r="O43" s="772"/>
      <c r="R43" s="117" t="s">
        <v>219</v>
      </c>
    </row>
    <row r="44" spans="1:18" s="2" customFormat="1" ht="14.25" customHeight="1" thickBot="1">
      <c r="A44" s="183" t="s">
        <v>207</v>
      </c>
      <c r="B44" s="144"/>
      <c r="C44" s="144"/>
      <c r="D44" s="145"/>
      <c r="E44" s="145"/>
      <c r="F44" s="145"/>
      <c r="G44" s="145"/>
      <c r="H44" s="144"/>
      <c r="I44" s="159"/>
      <c r="J44" s="144"/>
      <c r="K44" s="51"/>
      <c r="L44" s="52"/>
      <c r="M44" s="231"/>
      <c r="N44" s="28"/>
      <c r="O44" s="29"/>
      <c r="R44" s="117" t="s">
        <v>219</v>
      </c>
    </row>
    <row r="45" spans="1:18" s="2" customFormat="1" ht="14.25" customHeight="1" thickBot="1">
      <c r="A45" s="162"/>
      <c r="B45" s="833"/>
      <c r="C45" s="834"/>
      <c r="D45" s="834"/>
      <c r="E45" s="834"/>
      <c r="F45" s="835"/>
      <c r="G45" s="160"/>
      <c r="H45" s="160"/>
      <c r="I45" s="187" t="s">
        <v>160</v>
      </c>
      <c r="J45" s="161"/>
      <c r="K45" s="861"/>
      <c r="L45" s="862"/>
      <c r="M45" s="231"/>
      <c r="N45" s="676"/>
      <c r="O45" s="677"/>
      <c r="R45" s="117" t="s">
        <v>219</v>
      </c>
    </row>
    <row r="46" spans="1:18" s="2" customFormat="1" ht="14.25" hidden="1" customHeight="1" thickBot="1">
      <c r="A46" s="162"/>
      <c r="B46" s="833"/>
      <c r="C46" s="834"/>
      <c r="D46" s="834"/>
      <c r="E46" s="834"/>
      <c r="F46" s="835"/>
      <c r="G46" s="160"/>
      <c r="H46" s="160"/>
      <c r="I46" s="187" t="s">
        <v>161</v>
      </c>
      <c r="J46" s="161"/>
      <c r="K46" s="861"/>
      <c r="L46" s="862"/>
      <c r="M46" s="231"/>
      <c r="N46" s="676"/>
      <c r="O46" s="677"/>
      <c r="R46" s="117" t="s">
        <v>487</v>
      </c>
    </row>
    <row r="47" spans="1:18" s="2" customFormat="1" ht="14.25" hidden="1" customHeight="1" thickBot="1">
      <c r="A47" s="162"/>
      <c r="B47" s="833"/>
      <c r="C47" s="834"/>
      <c r="D47" s="834"/>
      <c r="E47" s="834"/>
      <c r="F47" s="835"/>
      <c r="G47" s="160"/>
      <c r="H47" s="160"/>
      <c r="I47" s="187" t="s">
        <v>162</v>
      </c>
      <c r="J47" s="161"/>
      <c r="K47" s="861"/>
      <c r="L47" s="862"/>
      <c r="M47" s="231"/>
      <c r="N47" s="676"/>
      <c r="O47" s="677"/>
      <c r="R47" s="117" t="s">
        <v>487</v>
      </c>
    </row>
    <row r="48" spans="1:18" s="2" customFormat="1" ht="14.25" hidden="1" customHeight="1" thickBot="1">
      <c r="A48" s="162"/>
      <c r="B48" s="833"/>
      <c r="C48" s="834"/>
      <c r="D48" s="834"/>
      <c r="E48" s="834"/>
      <c r="F48" s="835"/>
      <c r="G48" s="160"/>
      <c r="H48" s="160"/>
      <c r="I48" s="187" t="s">
        <v>163</v>
      </c>
      <c r="J48" s="161"/>
      <c r="K48" s="861"/>
      <c r="L48" s="862"/>
      <c r="M48" s="231"/>
      <c r="N48" s="676"/>
      <c r="O48" s="677"/>
      <c r="R48" s="117" t="s">
        <v>487</v>
      </c>
    </row>
    <row r="49" spans="1:18" s="2" customFormat="1" ht="14.25" hidden="1" customHeight="1" thickBot="1">
      <c r="A49" s="162"/>
      <c r="B49" s="833"/>
      <c r="C49" s="834"/>
      <c r="D49" s="834"/>
      <c r="E49" s="834"/>
      <c r="F49" s="835"/>
      <c r="G49" s="160"/>
      <c r="H49" s="160"/>
      <c r="I49" s="187" t="s">
        <v>164</v>
      </c>
      <c r="J49" s="161"/>
      <c r="K49" s="861"/>
      <c r="L49" s="862"/>
      <c r="M49" s="231"/>
      <c r="N49" s="676"/>
      <c r="O49" s="677"/>
      <c r="R49" s="117" t="s">
        <v>487</v>
      </c>
    </row>
    <row r="50" spans="1:18" s="2" customFormat="1" ht="14.25" customHeight="1" thickBot="1">
      <c r="A50" s="154"/>
      <c r="B50" s="178" t="s">
        <v>208</v>
      </c>
      <c r="C50" s="155"/>
      <c r="D50" s="147"/>
      <c r="E50" s="147"/>
      <c r="F50" s="147"/>
      <c r="G50" s="147"/>
      <c r="H50" s="147"/>
      <c r="I50" s="147"/>
      <c r="J50" s="147"/>
      <c r="K50" s="762">
        <f>SUM(K45:K49)</f>
        <v>0</v>
      </c>
      <c r="L50" s="753"/>
      <c r="M50" s="231"/>
      <c r="N50" s="798">
        <f>SUM(N45:N49)</f>
        <v>0</v>
      </c>
      <c r="O50" s="799"/>
      <c r="R50" s="117" t="s">
        <v>219</v>
      </c>
    </row>
    <row r="51" spans="1:18" s="2" customFormat="1" ht="14.25" customHeight="1">
      <c r="A51" s="188" t="s">
        <v>209</v>
      </c>
      <c r="B51" s="186"/>
      <c r="C51" s="186"/>
      <c r="D51" s="189"/>
      <c r="E51" s="189"/>
      <c r="F51" s="190"/>
      <c r="G51" s="368" t="s">
        <v>458</v>
      </c>
      <c r="H51" s="758" t="s">
        <v>92</v>
      </c>
      <c r="I51" s="759"/>
      <c r="J51" s="759"/>
      <c r="K51" s="754">
        <f>IF($A$5&lt;=$K$5,(IF(SUM('Travel Calculator'!$L$14:$M$14)&gt;0,('Travel Calculator'!$L$12*(1-'Travel Calculator'!$N$4)),'BP3'!$K$51)),)</f>
        <v>0</v>
      </c>
      <c r="L51" s="755"/>
      <c r="M51" s="231"/>
      <c r="N51" s="754">
        <f>IF($A$5&lt;=$K$5,(IF(SUM('Travel Calculator'!$L$14:$M$14)&gt;0,('Travel Calculator'!$L$12*('Travel Calculator'!$N$4)),'BP3'!$N$51)),)</f>
        <v>0</v>
      </c>
      <c r="O51" s="755"/>
      <c r="R51" s="117" t="s">
        <v>219</v>
      </c>
    </row>
    <row r="52" spans="1:18" s="2" customFormat="1" ht="14.25" customHeight="1" thickBot="1">
      <c r="A52" s="188"/>
      <c r="B52" s="186"/>
      <c r="C52" s="186"/>
      <c r="D52" s="189"/>
      <c r="E52" s="189"/>
      <c r="F52" s="366"/>
      <c r="G52" s="368" t="s">
        <v>459</v>
      </c>
      <c r="H52" s="758" t="s">
        <v>93</v>
      </c>
      <c r="I52" s="759"/>
      <c r="J52" s="759"/>
      <c r="K52" s="764">
        <f>IF($A$5&lt;=$K$5,(IF(SUM('Travel Calculator'!$L$14:$M$14)&gt;0,('Travel Calculator'!$M$12*(1-'Travel Calculator'!$N$4)),'BP3'!$K$52)),)</f>
        <v>0</v>
      </c>
      <c r="L52" s="765"/>
      <c r="M52" s="231"/>
      <c r="N52" s="764">
        <f>IF($A$5&lt;=$K$5,(IF(SUM('Travel Calculator'!$L$14:$M$14)&gt;0,('Travel Calculator'!$M$12*('Travel Calculator'!$N$4)),'BP3'!$N$52)),)</f>
        <v>0</v>
      </c>
      <c r="O52" s="765"/>
      <c r="R52" s="117" t="s">
        <v>219</v>
      </c>
    </row>
    <row r="53" spans="1:18" s="2" customFormat="1" ht="14.25" customHeight="1" thickBot="1">
      <c r="A53" s="172"/>
      <c r="B53" s="178"/>
      <c r="C53" s="178"/>
      <c r="D53" s="192"/>
      <c r="E53" s="192"/>
      <c r="F53" s="192"/>
      <c r="G53" s="192"/>
      <c r="H53" s="760" t="s">
        <v>108</v>
      </c>
      <c r="I53" s="760"/>
      <c r="J53" s="761"/>
      <c r="K53" s="752">
        <f>IF($A$5&lt;=$K$5,K51+K52,0)</f>
        <v>0</v>
      </c>
      <c r="L53" s="753"/>
      <c r="M53" s="231"/>
      <c r="N53" s="767">
        <f>N51+N52</f>
        <v>0</v>
      </c>
      <c r="O53" s="772"/>
      <c r="R53" s="117" t="s">
        <v>219</v>
      </c>
    </row>
    <row r="54" spans="1:18" s="2" customFormat="1" ht="14.25" customHeight="1">
      <c r="A54" s="188" t="s">
        <v>210</v>
      </c>
      <c r="B54" s="186"/>
      <c r="C54" s="186"/>
      <c r="D54" s="189"/>
      <c r="E54" s="189"/>
      <c r="F54" s="189"/>
      <c r="G54" s="189"/>
      <c r="H54" s="186"/>
      <c r="I54" s="193"/>
      <c r="J54" s="186"/>
      <c r="K54" s="55"/>
      <c r="L54" s="56"/>
      <c r="M54" s="231"/>
      <c r="N54" s="30"/>
      <c r="O54" s="31"/>
      <c r="R54" s="117" t="s">
        <v>219</v>
      </c>
    </row>
    <row r="55" spans="1:18" s="2" customFormat="1" ht="14.25" customHeight="1">
      <c r="A55" s="188"/>
      <c r="B55" s="194">
        <v>1</v>
      </c>
      <c r="C55" s="680" t="str">
        <f>'BP1'!C55</f>
        <v>Materials and Supplies</v>
      </c>
      <c r="D55" s="680"/>
      <c r="E55" s="680"/>
      <c r="F55" s="680"/>
      <c r="G55" s="680"/>
      <c r="H55" s="680"/>
      <c r="I55" s="680"/>
      <c r="J55" s="758"/>
      <c r="K55" s="861">
        <f>IF($A$5&lt;=$K$5,'BP3'!K55,0)</f>
        <v>0</v>
      </c>
      <c r="L55" s="862"/>
      <c r="M55" s="231"/>
      <c r="N55" s="676">
        <f>IF($A$5&lt;='BP1'!$K$5,'BP1'!N55,0)</f>
        <v>0</v>
      </c>
      <c r="O55" s="677"/>
      <c r="R55" s="117" t="s">
        <v>219</v>
      </c>
    </row>
    <row r="56" spans="1:18" s="2" customFormat="1" ht="14.25" customHeight="1">
      <c r="A56" s="188"/>
      <c r="B56" s="194">
        <v>2</v>
      </c>
      <c r="C56" s="680" t="str">
        <f>'BP1'!C56</f>
        <v>Publication Costs</v>
      </c>
      <c r="D56" s="680"/>
      <c r="E56" s="680"/>
      <c r="F56" s="680"/>
      <c r="G56" s="680"/>
      <c r="H56" s="680"/>
      <c r="I56" s="680"/>
      <c r="J56" s="758"/>
      <c r="K56" s="861">
        <f>IF($A$5&lt;=$K$5,'BP3'!K56,0)</f>
        <v>0</v>
      </c>
      <c r="L56" s="862"/>
      <c r="M56" s="231"/>
      <c r="N56" s="676">
        <f>IF($A$5&lt;='BP1'!$K$5,'BP1'!N56,0)</f>
        <v>0</v>
      </c>
      <c r="O56" s="677"/>
      <c r="R56" s="117" t="s">
        <v>219</v>
      </c>
    </row>
    <row r="57" spans="1:18" s="2" customFormat="1" ht="14.25" customHeight="1">
      <c r="A57" s="188"/>
      <c r="B57" s="194">
        <v>3</v>
      </c>
      <c r="C57" s="680" t="str">
        <f>'BP1'!C57</f>
        <v>Consultant Services</v>
      </c>
      <c r="D57" s="680"/>
      <c r="E57" s="680"/>
      <c r="F57" s="680"/>
      <c r="G57" s="680"/>
      <c r="H57" s="680"/>
      <c r="I57" s="680"/>
      <c r="J57" s="758"/>
      <c r="K57" s="861">
        <f>IF($A$5&lt;=$K$5,'BP3'!K57,0)</f>
        <v>0</v>
      </c>
      <c r="L57" s="862"/>
      <c r="M57" s="231"/>
      <c r="N57" s="676">
        <f>IF($A$5&lt;='BP1'!$K$5,'BP1'!N57,0)</f>
        <v>0</v>
      </c>
      <c r="O57" s="677"/>
      <c r="R57" s="117" t="s">
        <v>219</v>
      </c>
    </row>
    <row r="58" spans="1:18" s="2" customFormat="1" ht="14.25" customHeight="1">
      <c r="A58" s="188"/>
      <c r="B58" s="194">
        <v>4</v>
      </c>
      <c r="C58" s="680" t="str">
        <f>'BP1'!C58</f>
        <v>Computer Services</v>
      </c>
      <c r="D58" s="680"/>
      <c r="E58" s="680"/>
      <c r="F58" s="680"/>
      <c r="G58" s="680"/>
      <c r="H58" s="680"/>
      <c r="I58" s="680"/>
      <c r="J58" s="758"/>
      <c r="K58" s="861">
        <f>IF($A$5&lt;=$K$5,'BP3'!K58,0)</f>
        <v>0</v>
      </c>
      <c r="L58" s="862"/>
      <c r="M58" s="231"/>
      <c r="N58" s="676">
        <f>IF($A$5&lt;='BP1'!$K$5,'BP1'!N58,0)</f>
        <v>0</v>
      </c>
      <c r="O58" s="677"/>
      <c r="R58" s="117" t="s">
        <v>219</v>
      </c>
    </row>
    <row r="59" spans="1:18" s="2" customFormat="1" ht="14.25" customHeight="1">
      <c r="A59" s="188"/>
      <c r="B59" s="194">
        <v>5</v>
      </c>
      <c r="C59" s="680" t="s">
        <v>215</v>
      </c>
      <c r="D59" s="680"/>
      <c r="E59" s="680"/>
      <c r="F59" s="680"/>
      <c r="G59" s="680"/>
      <c r="H59" s="680"/>
      <c r="I59" s="680"/>
      <c r="J59" s="758"/>
      <c r="K59" s="863">
        <f>IF($A$5&lt;=$K$5,SUM((H38/12)*LOOKUP(K8,Lists!A2:A812,Lists!K2:K812)),0)</f>
        <v>0</v>
      </c>
      <c r="L59" s="863"/>
      <c r="M59" s="231"/>
      <c r="N59" s="817">
        <f>IF($A$5&lt;='BP1'!$K$5,SUM((M38/12)*LOOKUP(K8,Lists!A2:A812,Lists!K2:K812)),0)</f>
        <v>0</v>
      </c>
      <c r="O59" s="836"/>
      <c r="P59" s="5"/>
      <c r="Q59" s="5"/>
      <c r="R59" s="117" t="s">
        <v>219</v>
      </c>
    </row>
    <row r="60" spans="1:18" s="2" customFormat="1" ht="14.25" customHeight="1">
      <c r="A60" s="188"/>
      <c r="B60" s="194">
        <v>6</v>
      </c>
      <c r="C60" s="680" t="str">
        <f>'BP1'!C60</f>
        <v>MTDC Other</v>
      </c>
      <c r="D60" s="680"/>
      <c r="E60" s="680"/>
      <c r="F60" s="680"/>
      <c r="G60" s="680"/>
      <c r="H60" s="680"/>
      <c r="I60" s="680"/>
      <c r="J60" s="758"/>
      <c r="K60" s="819">
        <f>IF($A$5&lt;=$K$5,'BP3'!K60,0)</f>
        <v>0</v>
      </c>
      <c r="L60" s="819"/>
      <c r="M60" s="231"/>
      <c r="N60" s="676">
        <f>IF($A$5&lt;='BP1'!$K$5,'BP1'!N60,0)</f>
        <v>0</v>
      </c>
      <c r="O60" s="677"/>
      <c r="P60" s="5"/>
      <c r="Q60" s="5"/>
      <c r="R60" s="117" t="s">
        <v>219</v>
      </c>
    </row>
    <row r="61" spans="1:18" s="2" customFormat="1" ht="14.25" customHeight="1" thickBot="1">
      <c r="A61" s="188"/>
      <c r="B61" s="194">
        <v>7</v>
      </c>
      <c r="C61" s="680" t="str">
        <f>'BP1'!C61</f>
        <v>Non-MTDC Other (no indirect costs)</v>
      </c>
      <c r="D61" s="680"/>
      <c r="E61" s="680"/>
      <c r="F61" s="680"/>
      <c r="G61" s="680"/>
      <c r="H61" s="680"/>
      <c r="I61" s="680"/>
      <c r="J61" s="758"/>
      <c r="K61" s="861">
        <f>IF($A$5&lt;=$K$5,'BP3'!K61,0)</f>
        <v>0</v>
      </c>
      <c r="L61" s="862"/>
      <c r="M61" s="231"/>
      <c r="N61" s="676">
        <f>IF($A$5&lt;='BP1'!$K$5,'BP1'!N61,0)</f>
        <v>0</v>
      </c>
      <c r="O61" s="677"/>
      <c r="P61" s="195" t="s">
        <v>147</v>
      </c>
      <c r="Q61" s="328"/>
      <c r="R61" s="117" t="s">
        <v>219</v>
      </c>
    </row>
    <row r="62" spans="1:18" s="2" customFormat="1" ht="14.25" customHeight="1" thickBot="1">
      <c r="A62" s="148"/>
      <c r="B62" s="213">
        <v>8</v>
      </c>
      <c r="C62" s="680" t="s">
        <v>566</v>
      </c>
      <c r="D62" s="680"/>
      <c r="E62" s="678" t="s">
        <v>292</v>
      </c>
      <c r="F62" s="679"/>
      <c r="G62" s="667">
        <f>'Subaward Calculator'!B8</f>
        <v>0</v>
      </c>
      <c r="H62" s="668"/>
      <c r="I62" s="669"/>
      <c r="J62" s="256">
        <f>IF('BP3'!K62+'BP2'!K62+'BP1'!K62&lt;25000,25000-('BP3'!K62+'BP2'!K62+'BP1'!K62),0)</f>
        <v>25000</v>
      </c>
      <c r="K62" s="670">
        <f>IF(AND(SUM('BP3'!K62)&gt;0,'Subaward Calculator'!AD9=0,'BP1'!K5&gt;3),'BP3'!K62,'Subaward Calculator'!T9)</f>
        <v>0</v>
      </c>
      <c r="L62" s="671"/>
      <c r="M62" s="231"/>
      <c r="N62" s="822">
        <f>IF(AND(SUM('BP3'!N62)&gt;0,'Subaward Calculator'!AF9=0,'BP1'!K5&gt;3),'BP3'!N62,'Subaward Calculator'!V9)</f>
        <v>0</v>
      </c>
      <c r="O62" s="823"/>
      <c r="P62" s="486">
        <f>'Subaward Calculator'!B9</f>
        <v>0</v>
      </c>
      <c r="Q62" s="334"/>
      <c r="R62" s="117" t="s">
        <v>219</v>
      </c>
    </row>
    <row r="63" spans="1:18" s="2" customFormat="1" ht="14.25" hidden="1" customHeight="1" thickBot="1">
      <c r="A63" s="188"/>
      <c r="B63" s="213"/>
      <c r="C63" s="680" t="s">
        <v>567</v>
      </c>
      <c r="D63" s="680"/>
      <c r="E63" s="678" t="s">
        <v>292</v>
      </c>
      <c r="F63" s="679"/>
      <c r="G63" s="667">
        <f>'Subaward Calculator'!B11</f>
        <v>0</v>
      </c>
      <c r="H63" s="668"/>
      <c r="I63" s="669"/>
      <c r="J63" s="256">
        <f>IF('BP3'!K63+'BP2'!K63+'BP1'!K63&lt;25000,25000-('BP3'!K63+'BP2'!K63+'BP1'!K63),0)</f>
        <v>25000</v>
      </c>
      <c r="K63" s="670">
        <f>IF(AND(SUM('BP3'!K63)&gt;0,'Subaward Calculator'!AD12=0,'BP1'!K5&gt;3),'BP3'!K63,'Subaward Calculator'!T12)</f>
        <v>0</v>
      </c>
      <c r="L63" s="671"/>
      <c r="M63" s="231"/>
      <c r="N63" s="822">
        <f>IF(AND(SUM('BP3'!N63)&gt;0,'Subaward Calculator'!AF12=0,'BP1'!K5&gt;3),'BP3'!N63,'Subaward Calculator'!V12)</f>
        <v>0</v>
      </c>
      <c r="O63" s="823"/>
      <c r="P63" s="486">
        <f>'Subaward Calculator'!B12</f>
        <v>0</v>
      </c>
      <c r="Q63" s="334"/>
      <c r="R63" s="117" t="s">
        <v>222</v>
      </c>
    </row>
    <row r="64" spans="1:18" s="2" customFormat="1" ht="14.25" hidden="1" customHeight="1" thickBot="1">
      <c r="A64" s="148"/>
      <c r="B64" s="213"/>
      <c r="C64" s="680" t="s">
        <v>568</v>
      </c>
      <c r="D64" s="680"/>
      <c r="E64" s="678" t="s">
        <v>292</v>
      </c>
      <c r="F64" s="679"/>
      <c r="G64" s="667">
        <f>'Subaward Calculator'!B14</f>
        <v>0</v>
      </c>
      <c r="H64" s="668"/>
      <c r="I64" s="669"/>
      <c r="J64" s="256">
        <f>IF('BP3'!K64+'BP2'!K64+'BP1'!K64&lt;25000,25000-('BP3'!K64+'BP2'!K64+'BP1'!K64),0)</f>
        <v>25000</v>
      </c>
      <c r="K64" s="670">
        <f>IF(AND(SUM('BP3'!K64)&gt;0,'Subaward Calculator'!AD15=0,'BP1'!K5&gt;3),'BP3'!K64,'Subaward Calculator'!T15)</f>
        <v>0</v>
      </c>
      <c r="L64" s="671"/>
      <c r="M64" s="231"/>
      <c r="N64" s="822">
        <f>IF(AND(SUM('BP3'!N64)&gt;0,'Subaward Calculator'!AF15=0,'BP1'!K5&gt;3),'BP3'!N64,'Subaward Calculator'!V15)</f>
        <v>0</v>
      </c>
      <c r="O64" s="823"/>
      <c r="P64" s="486">
        <f>'Subaward Calculator'!B15</f>
        <v>0</v>
      </c>
      <c r="Q64" s="334"/>
      <c r="R64" s="117" t="s">
        <v>222</v>
      </c>
    </row>
    <row r="65" spans="1:18" s="2" customFormat="1" ht="14.25" hidden="1" customHeight="1" thickBot="1">
      <c r="A65" s="148"/>
      <c r="B65" s="213"/>
      <c r="C65" s="680" t="s">
        <v>569</v>
      </c>
      <c r="D65" s="680"/>
      <c r="E65" s="678" t="s">
        <v>292</v>
      </c>
      <c r="F65" s="679"/>
      <c r="G65" s="667">
        <f>'Subaward Calculator'!B17</f>
        <v>0</v>
      </c>
      <c r="H65" s="668"/>
      <c r="I65" s="669"/>
      <c r="J65" s="256">
        <f>IF('BP3'!$K$65+'BP2'!$K$65+'BP1'!$K$65&lt;25000,25000-('BP3'!$K$65+'BP2'!$K$65+'BP1'!$K$65),0)</f>
        <v>25000</v>
      </c>
      <c r="K65" s="670">
        <f>IF(AND(SUM('BP3'!K65)&gt;0,'Subaward Calculator'!AD18=0,'BP1'!K5&gt;3),'BP3'!K65,'Subaward Calculator'!T18)</f>
        <v>0</v>
      </c>
      <c r="L65" s="671"/>
      <c r="M65" s="231"/>
      <c r="N65" s="822">
        <f>IF(AND(SUM('BP3'!N65)&gt;0,'Subaward Calculator'!AF18=0,'BP1'!K5&gt;3),'BP3'!N65,'Subaward Calculator'!V18)</f>
        <v>0</v>
      </c>
      <c r="O65" s="823"/>
      <c r="P65" s="486">
        <f>'Subaward Calculator'!B18</f>
        <v>0</v>
      </c>
      <c r="Q65" s="334"/>
      <c r="R65" s="117" t="s">
        <v>222</v>
      </c>
    </row>
    <row r="66" spans="1:18" s="2" customFormat="1" ht="14.25" hidden="1" customHeight="1" thickBot="1">
      <c r="A66" s="148"/>
      <c r="B66" s="213"/>
      <c r="C66" s="680" t="s">
        <v>570</v>
      </c>
      <c r="D66" s="680"/>
      <c r="E66" s="678" t="s">
        <v>292</v>
      </c>
      <c r="F66" s="679"/>
      <c r="G66" s="667">
        <f>'Subaward Calculator'!B20</f>
        <v>0</v>
      </c>
      <c r="H66" s="668"/>
      <c r="I66" s="669"/>
      <c r="J66" s="256">
        <f>IF('BP3'!$K$66+'BP2'!$K$66+'BP1'!$K$66&lt;25000,25000-('BP3'!$K$66+'BP2'!$K$66+'BP1'!$K$66),0)</f>
        <v>25000</v>
      </c>
      <c r="K66" s="670">
        <f>IF(AND(SUM('BP3'!K66)&gt;0,'Subaward Calculator'!AD21=0,'BP1'!K5&gt;3),'BP3'!K66,'Subaward Calculator'!T21)</f>
        <v>0</v>
      </c>
      <c r="L66" s="671"/>
      <c r="M66" s="231"/>
      <c r="N66" s="822">
        <f>IF(AND(SUM('BP3'!N66)&gt;0,'Subaward Calculator'!AF21=0,'BP1'!K5&gt;3),'BP3'!N66,'Subaward Calculator'!V21)</f>
        <v>0</v>
      </c>
      <c r="O66" s="823"/>
      <c r="P66" s="486">
        <f>'Subaward Calculator'!B21</f>
        <v>0</v>
      </c>
      <c r="Q66" s="334"/>
      <c r="R66" s="117" t="s">
        <v>222</v>
      </c>
    </row>
    <row r="67" spans="1:18" s="2" customFormat="1" ht="14.25" hidden="1" customHeight="1" thickBot="1">
      <c r="A67" s="148"/>
      <c r="B67" s="213"/>
      <c r="C67" s="680" t="s">
        <v>571</v>
      </c>
      <c r="D67" s="680"/>
      <c r="E67" s="678" t="s">
        <v>292</v>
      </c>
      <c r="F67" s="679"/>
      <c r="G67" s="667">
        <f>'Subaward Calculator'!B23</f>
        <v>0</v>
      </c>
      <c r="H67" s="668"/>
      <c r="I67" s="669"/>
      <c r="J67" s="256">
        <f>IF('BP3'!$K$67+'BP2'!$K$67+'BP1'!$K$67&lt;25000,25000-('BP3'!$K$67+'BP2'!$K$67+'BP1'!$K$67),0)</f>
        <v>25000</v>
      </c>
      <c r="K67" s="670">
        <f>IF(AND(SUM('BP3'!K67)&gt;0,'Subaward Calculator'!AD24=0,'BP1'!K5&gt;3),'BP3'!K67,'Subaward Calculator'!T24)</f>
        <v>0</v>
      </c>
      <c r="L67" s="671"/>
      <c r="M67" s="231"/>
      <c r="N67" s="822">
        <f>IF(AND(SUM('BP3'!N67)&gt;0,'Subaward Calculator'!AF24=0,'BP1'!K5&gt;3),'BP3'!N67,'Subaward Calculator'!V24)</f>
        <v>0</v>
      </c>
      <c r="O67" s="823"/>
      <c r="P67" s="486">
        <f>'Subaward Calculator'!B24</f>
        <v>0</v>
      </c>
      <c r="Q67" s="334"/>
      <c r="R67" s="117" t="s">
        <v>222</v>
      </c>
    </row>
    <row r="68" spans="1:18" s="2" customFormat="1" ht="14.25" hidden="1" customHeight="1" thickBot="1">
      <c r="A68" s="148"/>
      <c r="B68" s="213"/>
      <c r="C68" s="680" t="s">
        <v>572</v>
      </c>
      <c r="D68" s="680"/>
      <c r="E68" s="678" t="s">
        <v>292</v>
      </c>
      <c r="F68" s="679"/>
      <c r="G68" s="667">
        <f>'Subaward Calculator'!B26</f>
        <v>0</v>
      </c>
      <c r="H68" s="668"/>
      <c r="I68" s="669"/>
      <c r="J68" s="256">
        <f>IF('BP3'!$K$68+'BP2'!$K$68+'BP1'!$K$68&lt;25000,25000-('BP3'!$K$68+'BP2'!$K$68+'BP1'!$K$68),0)</f>
        <v>25000</v>
      </c>
      <c r="K68" s="670">
        <f>IF(AND(SUM('BP3'!K68)&gt;0,'Subaward Calculator'!AD27=0,'BP1'!K5&gt;3),'BP3'!K68,'Subaward Calculator'!T27)</f>
        <v>0</v>
      </c>
      <c r="L68" s="671"/>
      <c r="M68" s="231"/>
      <c r="N68" s="822">
        <f>IF(AND(SUM('BP3'!N68)&gt;0,'Subaward Calculator'!AF27=0,'BP1'!K5&gt;3),'BP3'!N68,'Subaward Calculator'!V27)</f>
        <v>0</v>
      </c>
      <c r="O68" s="823"/>
      <c r="P68" s="486">
        <f>'Subaward Calculator'!B27</f>
        <v>0</v>
      </c>
      <c r="Q68" s="334"/>
      <c r="R68" s="117" t="s">
        <v>223</v>
      </c>
    </row>
    <row r="69" spans="1:18" s="2" customFormat="1" ht="14.25" hidden="1" customHeight="1" thickBot="1">
      <c r="A69" s="148"/>
      <c r="B69" s="213"/>
      <c r="C69" s="680" t="s">
        <v>573</v>
      </c>
      <c r="D69" s="680"/>
      <c r="E69" s="678" t="s">
        <v>292</v>
      </c>
      <c r="F69" s="679"/>
      <c r="G69" s="667">
        <f>'Subaward Calculator'!B29</f>
        <v>0</v>
      </c>
      <c r="H69" s="668"/>
      <c r="I69" s="669"/>
      <c r="J69" s="256">
        <f>IF('BP3'!$K$69+'BP2'!$K$69+'BP1'!$K$69&lt;25000,25000-('BP3'!$K$69+'BP2'!$K$69+'BP1'!$K$69),0)</f>
        <v>25000</v>
      </c>
      <c r="K69" s="670">
        <f>IF(AND(SUM('BP3'!K69)&gt;0,'Subaward Calculator'!AD30=0,'BP1'!K5&gt;3),'BP3'!K69,'Subaward Calculator'!T30)</f>
        <v>0</v>
      </c>
      <c r="L69" s="671"/>
      <c r="M69" s="231"/>
      <c r="N69" s="822">
        <f>IF(AND(SUM('BP3'!N69)&gt;0,'Subaward Calculator'!AF30=0,'BP1'!K5&gt;3),'BP3'!N69,'Subaward Calculator'!V30)</f>
        <v>0</v>
      </c>
      <c r="O69" s="823"/>
      <c r="P69" s="486">
        <f>'Subaward Calculator'!B30</f>
        <v>0</v>
      </c>
      <c r="Q69" s="334"/>
      <c r="R69" s="117" t="s">
        <v>223</v>
      </c>
    </row>
    <row r="70" spans="1:18" s="2" customFormat="1" ht="14.25" hidden="1" customHeight="1" thickBot="1">
      <c r="A70" s="148"/>
      <c r="B70" s="213"/>
      <c r="C70" s="680" t="s">
        <v>574</v>
      </c>
      <c r="D70" s="680"/>
      <c r="E70" s="678" t="s">
        <v>292</v>
      </c>
      <c r="F70" s="679"/>
      <c r="G70" s="667">
        <f>'Subaward Calculator'!B32</f>
        <v>0</v>
      </c>
      <c r="H70" s="668"/>
      <c r="I70" s="669"/>
      <c r="J70" s="256">
        <f>IF('BP3'!$K$70+'BP2'!$K$70+'BP1'!$K$70&lt;25000,25000-('BP3'!$K$70+'BP2'!$K$70+'BP1'!$K$70),0)</f>
        <v>25000</v>
      </c>
      <c r="K70" s="670">
        <f>IF(AND(SUM('BP3'!K70)&gt;0,'Subaward Calculator'!AD33=0,'BP1'!K5&gt;3),'BP3'!K70,'Subaward Calculator'!T33)</f>
        <v>0</v>
      </c>
      <c r="L70" s="671"/>
      <c r="M70" s="231"/>
      <c r="N70" s="822">
        <f>IF(AND(SUM('BP3'!N70)&gt;0,'Subaward Calculator'!AF33=0,'BP1'!K5&gt;3),'BP3'!N70,'Subaward Calculator'!V33)</f>
        <v>0</v>
      </c>
      <c r="O70" s="823"/>
      <c r="P70" s="486">
        <f>'Subaward Calculator'!B33</f>
        <v>0</v>
      </c>
      <c r="Q70" s="334"/>
      <c r="R70" s="117" t="s">
        <v>223</v>
      </c>
    </row>
    <row r="71" spans="1:18" s="2" customFormat="1" ht="14.25" hidden="1" customHeight="1" thickBot="1">
      <c r="A71" s="148"/>
      <c r="B71" s="213"/>
      <c r="C71" s="680" t="s">
        <v>575</v>
      </c>
      <c r="D71" s="680"/>
      <c r="E71" s="678" t="s">
        <v>292</v>
      </c>
      <c r="F71" s="679"/>
      <c r="G71" s="667">
        <f>'Subaward Calculator'!B35</f>
        <v>0</v>
      </c>
      <c r="H71" s="668"/>
      <c r="I71" s="669"/>
      <c r="J71" s="256">
        <f>IF('BP3'!$K$71+'BP2'!$K$71+'BP1'!$K$71&lt;25000,25000-('BP3'!$K$71+'BP2'!$K$71+'BP1'!$K$71),0)</f>
        <v>25000</v>
      </c>
      <c r="K71" s="670">
        <f>IF(AND(SUM('BP3'!K71)&gt;0,'Subaward Calculator'!AD36=0,'BP1'!K5&gt;3),'BP3'!K71,'Subaward Calculator'!T36)</f>
        <v>0</v>
      </c>
      <c r="L71" s="671"/>
      <c r="M71" s="231"/>
      <c r="N71" s="822">
        <f>IF(AND(SUM('BP3'!N71)&gt;0,'Subaward Calculator'!AF36=0,'BP1'!K5&gt;3),'BP3'!N71,'Subaward Calculator'!V36)</f>
        <v>0</v>
      </c>
      <c r="O71" s="823"/>
      <c r="P71" s="486">
        <f>'Subaward Calculator'!B36</f>
        <v>0</v>
      </c>
      <c r="Q71" s="334"/>
      <c r="R71" s="117" t="s">
        <v>223</v>
      </c>
    </row>
    <row r="72" spans="1:18" s="2" customFormat="1" ht="14.25" hidden="1" customHeight="1" thickBot="1">
      <c r="A72" s="148"/>
      <c r="B72" s="213"/>
      <c r="C72" s="680" t="s">
        <v>576</v>
      </c>
      <c r="D72" s="680"/>
      <c r="E72" s="678" t="s">
        <v>292</v>
      </c>
      <c r="F72" s="679"/>
      <c r="G72" s="667">
        <f>'Subaward Calculator'!B38</f>
        <v>0</v>
      </c>
      <c r="H72" s="668"/>
      <c r="I72" s="669"/>
      <c r="J72" s="256">
        <f>IF('BP3'!$K$72+'BP2'!$K$72+'BP1'!$K$72&lt;25000,25000-('BP3'!$K$72+'BP2'!$K$72+'BP1'!$K$72),0)</f>
        <v>25000</v>
      </c>
      <c r="K72" s="670">
        <f>IF(AND(SUM('BP3'!K72)&gt;0,'Subaward Calculator'!AD39=0,'BP1'!K5&gt;3),'BP3'!K72,'Subaward Calculator'!T39)</f>
        <v>0</v>
      </c>
      <c r="L72" s="671"/>
      <c r="M72" s="231"/>
      <c r="N72" s="822">
        <f>IF(AND(SUM('BP3'!N72)&gt;0,'Subaward Calculator'!AF39=0,'BP1'!K5&gt;3),'BP3'!N72,'Subaward Calculator'!V39)</f>
        <v>0</v>
      </c>
      <c r="O72" s="823"/>
      <c r="P72" s="486">
        <f>'Subaward Calculator'!B39</f>
        <v>0</v>
      </c>
      <c r="Q72" s="334"/>
      <c r="R72" s="117" t="s">
        <v>223</v>
      </c>
    </row>
    <row r="73" spans="1:18" s="2" customFormat="1" ht="14.25" hidden="1" customHeight="1" thickBot="1">
      <c r="A73" s="148"/>
      <c r="B73" s="213"/>
      <c r="C73" s="680" t="s">
        <v>577</v>
      </c>
      <c r="D73" s="680"/>
      <c r="E73" s="678" t="s">
        <v>292</v>
      </c>
      <c r="F73" s="679"/>
      <c r="G73" s="667">
        <f>'Subaward Calculator'!B41</f>
        <v>0</v>
      </c>
      <c r="H73" s="668"/>
      <c r="I73" s="669"/>
      <c r="J73" s="256">
        <f>IF('BP3'!$K$73+'BP2'!$K$73+'BP1'!$K$73&lt;25000,25000-('BP3'!$K$73+'BP2'!$K$73+'BP1'!$K$73),0)</f>
        <v>25000</v>
      </c>
      <c r="K73" s="670">
        <f>IF(AND(SUM('BP3'!K73)&gt;0,'Subaward Calculator'!AD42=0,'BP1'!K5&gt;3),'BP3'!K73,'Subaward Calculator'!T42)</f>
        <v>0</v>
      </c>
      <c r="L73" s="671"/>
      <c r="M73" s="231"/>
      <c r="N73" s="822">
        <f>IF(AND(SUM('BP3'!N73)&gt;0,'Subaward Calculator'!AF42=0,'BP1'!K5&gt;3),'BP3'!N73,'Subaward Calculator'!V42)</f>
        <v>0</v>
      </c>
      <c r="O73" s="823"/>
      <c r="P73" s="486">
        <f>'Subaward Calculator'!B42</f>
        <v>0</v>
      </c>
      <c r="Q73" s="334"/>
      <c r="R73" s="117" t="s">
        <v>223</v>
      </c>
    </row>
    <row r="74" spans="1:18" s="2" customFormat="1" ht="14.25" customHeight="1" thickBot="1">
      <c r="A74" s="188" t="s">
        <v>94</v>
      </c>
      <c r="B74" s="149"/>
      <c r="C74" s="149"/>
      <c r="D74" s="152"/>
      <c r="E74" s="153"/>
      <c r="F74" s="153"/>
      <c r="G74" s="153"/>
      <c r="H74" s="149"/>
      <c r="I74" s="151"/>
      <c r="J74" s="149"/>
      <c r="K74" s="752">
        <f>IF($A$5&lt;=$K$5,SUM(K55:$K$73),0)</f>
        <v>0</v>
      </c>
      <c r="L74" s="753"/>
      <c r="M74" s="231"/>
      <c r="N74" s="767">
        <f>SUM(N55:N73)</f>
        <v>0</v>
      </c>
      <c r="O74" s="772"/>
      <c r="R74" s="117" t="s">
        <v>219</v>
      </c>
    </row>
    <row r="75" spans="1:18" s="2" customFormat="1" ht="14.25" customHeight="1" thickBot="1">
      <c r="A75" s="188" t="s">
        <v>582</v>
      </c>
      <c r="B75" s="149"/>
      <c r="C75" s="149"/>
      <c r="D75" s="150"/>
      <c r="E75" s="150"/>
      <c r="F75" s="150"/>
      <c r="G75" s="150"/>
      <c r="H75" s="149"/>
      <c r="I75" s="151"/>
      <c r="J75" s="149"/>
      <c r="K75" s="752">
        <f>IF($A$5&lt;=$K$5,SUM(K43+K50+K53+$K$74),0)</f>
        <v>0</v>
      </c>
      <c r="L75" s="753"/>
      <c r="M75" s="231"/>
      <c r="N75" s="767">
        <f ca="1">SUM(N43+N50+N53+N74)</f>
        <v>0</v>
      </c>
      <c r="O75" s="772"/>
      <c r="R75" s="117" t="s">
        <v>219</v>
      </c>
    </row>
    <row r="76" spans="1:18" s="2" customFormat="1" ht="14.25" customHeight="1" thickBot="1">
      <c r="A76" s="188" t="str">
        <f>IF('Appendix C-Grants.gov Form Info'!J1&gt;0,IF(AND(SUM(K62:K73)&gt;0,'Subaward Calculator'!AD46=0),"","     Total NU Direct Costs and Subaward Direct Costs"),"")</f>
        <v/>
      </c>
      <c r="B76" s="149"/>
      <c r="C76" s="149"/>
      <c r="D76" s="150"/>
      <c r="E76" s="150"/>
      <c r="F76" s="150"/>
      <c r="G76" s="150"/>
      <c r="H76" s="149"/>
      <c r="I76" s="151"/>
      <c r="J76" s="149"/>
      <c r="K76" s="752" t="str">
        <f>IF('Appendix C-Grants.gov Form Info'!J1&gt;0,IF(AND(SUM(K62:K73)&gt;0,'Subaward Calculator'!AD46=0),"",IF($A$5&lt;=$K$5,SUM(K43+K50+K53+$K$74),0)-'Subaward Calculator'!T46+'Subaward Calculator'!T44),"")</f>
        <v/>
      </c>
      <c r="L76" s="753"/>
      <c r="M76" s="231"/>
      <c r="N76"/>
      <c r="O76" s="81"/>
      <c r="P76" s="1"/>
      <c r="Q76" s="1"/>
      <c r="R76" s="117" t="s">
        <v>219</v>
      </c>
    </row>
    <row r="77" spans="1:18" s="2" customFormat="1" ht="14.25" customHeight="1">
      <c r="A77" s="183"/>
      <c r="B77" s="191"/>
      <c r="C77" s="191"/>
      <c r="D77" s="191"/>
      <c r="E77" s="145"/>
      <c r="F77" s="372" t="str">
        <f>IF(OR($L$2="No F&amp;A",$L$2="Custom"),"","Current Fiscal Year Base Rate =")</f>
        <v>Current Fiscal Year Base Rate =</v>
      </c>
      <c r="G77" s="816">
        <f>IF($L$2="No F&amp;A",$L$2,IF($L$2="Custom","Enter Custom Rate:",(VLOOKUP((IF($K$8&gt;=DATE(YEAR($K$8),9,1),DATE(YEAR($K$8),9,1),DATE(YEAR($K$8)-1,9,1))),Lists!A:Q,(MATCH('BP1'!$K$2&amp;" "&amp;'BP1'!$L$2,Lists!$M$1:$Q$1,0)+12),1))))</f>
        <v>0.6</v>
      </c>
      <c r="H77" s="816"/>
      <c r="I77" s="756">
        <f ca="1">INDIRECT("BP"&amp;$A$5-1&amp;"!I77")</f>
        <v>0.1</v>
      </c>
      <c r="J77" s="757"/>
      <c r="K77" s="375"/>
      <c r="L77" s="54"/>
      <c r="M77" s="231"/>
      <c r="N77" s="241"/>
      <c r="O77" s="242"/>
      <c r="R77" s="117" t="s">
        <v>219</v>
      </c>
    </row>
    <row r="78" spans="1:18" s="2" customFormat="1" ht="14.25" customHeight="1" thickBot="1">
      <c r="A78" s="792" t="str">
        <f>IF(K3="MTDC","Modified Total Direct Costs (MTDC) Base =","Total Direct Costs (TDC) Base =")</f>
        <v>Modified Total Direct Costs (MTDC) Base =</v>
      </c>
      <c r="B78" s="793"/>
      <c r="C78" s="793"/>
      <c r="D78" s="793"/>
      <c r="E78" s="793"/>
      <c r="F78" s="793"/>
      <c r="G78" s="461">
        <f>IF(K3="MTDC",IF(A5&lt;=K5,K75-K50-K62-K63-K64-$K$65-$K$66-$K$67-$K$68-$K$69-$K$70-$K$71-$K$72-$K$73-K59-K61+IF(J62&lt;K62,J62,K62)+IF(J63&lt;K63,J63,K63)+IF(J64&lt;K64,J64,K64)+IF(J65&lt;$K$65,J65,$K$65)+IF(J66&lt;$K$66,J66,$K$66)+IF(J67&lt;$K$67,J67,$K$67)+IF(J68&lt;$K$68,J68,$K$68)+IF(J69&lt;$K$69,J69,$K$69)+IF(J70&lt;$K$70,J70,$K$70)+IF(J71&lt;$K$71,J71,$K$71)+IF(J72&lt;$K$72,J72,$K$72)+IF(J73&lt;$K$73,J73,$K$73),0),IF(A5&lt;=K5,K75,0))</f>
        <v>0</v>
      </c>
      <c r="H78" s="146"/>
      <c r="I78" s="146"/>
      <c r="J78" s="246"/>
      <c r="K78" s="375"/>
      <c r="L78" s="376"/>
      <c r="M78" s="231"/>
      <c r="N78" s="797" t="s">
        <v>289</v>
      </c>
      <c r="O78" s="797"/>
      <c r="R78" s="117" t="s">
        <v>219</v>
      </c>
    </row>
    <row r="79" spans="1:18" s="2" customFormat="1" ht="14.25" customHeight="1" thickBot="1">
      <c r="A79" s="794">
        <f ca="1">IF(K3="MTDC",IF(G79&gt;0,"Modified Total Direct Costs (MTDC) Cost-Share Base =",),IF(G79&gt;0,"Total Direct Costs (TDC) Cost-Share Base =",))</f>
        <v>0</v>
      </c>
      <c r="B79" s="795"/>
      <c r="C79" s="795"/>
      <c r="D79" s="795"/>
      <c r="E79" s="795"/>
      <c r="F79" s="795"/>
      <c r="G79" s="504">
        <f ca="1">IF(K3="MTDC",IF('BP1'!K5&gt;0,N75-N50-N59-N61-IF(N62="",0,N62)-IF(N63="",0,N63)-IF(N64="",0,N64)-IF(N65="",0,N65)-IF(N66="",0,N66)-IF(N67="",0,N67)-IF(N68="",0,N68)-IF(N69="",0,N69)-IF(N70="",0,N70)-IF(N71="",0,N71)-IF(N72="",0,N72)-IF(N73="",0,N73),0),IF('BP1'!K5&gt;0,N75,0))</f>
        <v>0</v>
      </c>
      <c r="H79" s="796" t="s">
        <v>217</v>
      </c>
      <c r="I79" s="796"/>
      <c r="J79" s="796"/>
      <c r="K79" s="752">
        <f ca="1">IF($L$2="No F&amp;A",0,(IF($L$2="Custom",I77,(AVERAGEIFS(INDIRECT(SUBSTITUTE(SUBSTITUTE(CONCATENATE($K$2,$L$2)," ",""),"-","")),StartDateList,"&gt;="&amp;(DATE(YEAR($K$8),MONTH($K$8),1)),StartDateList,"&lt;="&amp;$K$10))))*G78)</f>
        <v>0</v>
      </c>
      <c r="L79" s="753"/>
      <c r="M79" s="356"/>
      <c r="N79" s="767">
        <f ca="1">IF($L$2="No F&amp;A",0,(IF($L$2="Custom",$I$77,(AVERAGEIFS(INDIRECT(SUBSTITUTE(SUBSTITUTE(CONCATENATE($K$2,$L$2)," ",""),"-","")),StartDateList,"&gt;="&amp;(DATE(YEAR($K$8),MONTH($K$8),1)),StartDateList,"&lt;="&amp;$K$10))))*$G$79)</f>
        <v>0</v>
      </c>
      <c r="O79" s="772"/>
      <c r="R79" s="117" t="s">
        <v>219</v>
      </c>
    </row>
    <row r="80" spans="1:18" s="2" customFormat="1" ht="14.25" customHeight="1" thickBot="1">
      <c r="A80" s="188" t="s">
        <v>96</v>
      </c>
      <c r="B80" s="149"/>
      <c r="C80" s="149"/>
      <c r="D80" s="150"/>
      <c r="E80" s="150"/>
      <c r="F80" s="150"/>
      <c r="G80" s="150"/>
      <c r="H80" s="149"/>
      <c r="I80" s="151"/>
      <c r="J80" s="149"/>
      <c r="K80" s="752">
        <f>IF($A$5&lt;=$K$5,ROUND(K75,0)+ROUND(K79,0),0)</f>
        <v>0</v>
      </c>
      <c r="L80" s="753"/>
      <c r="M80" s="356"/>
      <c r="N80" s="767">
        <f ca="1">ROUND(N75,0)+ROUND(N79,0)</f>
        <v>0</v>
      </c>
      <c r="O80" s="772"/>
      <c r="R80" s="117" t="s">
        <v>219</v>
      </c>
    </row>
    <row r="81" spans="1:18" ht="14.25" customHeight="1" thickBot="1">
      <c r="M81" s="231"/>
      <c r="R81" s="117" t="s">
        <v>219</v>
      </c>
    </row>
    <row r="82" spans="1:18" ht="14.25" customHeight="1" thickBot="1">
      <c r="A82" s="188" t="s">
        <v>584</v>
      </c>
      <c r="B82" s="149"/>
      <c r="C82" s="149"/>
      <c r="D82" s="150"/>
      <c r="E82" s="150"/>
      <c r="F82" s="150"/>
      <c r="G82" s="150"/>
      <c r="H82" s="149"/>
      <c r="I82" s="151"/>
      <c r="J82" s="149"/>
      <c r="K82" s="841">
        <f>'BP1'!K75+'BP2'!K75+'BP3'!K75+'BP4'!K75+'BP5'!K75</f>
        <v>0</v>
      </c>
      <c r="L82" s="841"/>
      <c r="M82" s="231"/>
      <c r="N82" s="767">
        <f ca="1">'BP1'!N75+'BP2'!N75+'BP3'!N75+'BP4'!N75+'BP5'!N75</f>
        <v>0</v>
      </c>
      <c r="O82" s="772"/>
      <c r="R82" s="117" t="s">
        <v>219</v>
      </c>
    </row>
    <row r="83" spans="1:18" ht="14.25" customHeight="1" thickBot="1">
      <c r="A83" s="188" t="str">
        <f>IF(AND(SUM(K62:K73)&gt;0,'Subaward Calculator'!AD46=0),"","     Cumulative Total NU Direct Costs and Subaward Direct Costs")</f>
        <v xml:space="preserve">     Cumulative Total NU Direct Costs and Subaward Direct Costs</v>
      </c>
      <c r="B83" s="149"/>
      <c r="C83" s="149"/>
      <c r="D83" s="150"/>
      <c r="E83" s="150"/>
      <c r="F83" s="150"/>
      <c r="G83" s="150"/>
      <c r="H83" s="149"/>
      <c r="I83" s="151"/>
      <c r="J83" s="149"/>
      <c r="K83" s="841">
        <f>IF(AND(SUM(K62:K73)&gt;0,'Subaward Calculator'!AD46=0),"",'BP1'!K75+'BP2'!K75+'BP3'!K75+'BP4'!K75+'BP5'!K75-'Subaward Calculator'!AD46+'Subaward Calculator'!AD44)</f>
        <v>0</v>
      </c>
      <c r="L83" s="841"/>
      <c r="M83" s="231"/>
      <c r="N83" s="502"/>
      <c r="O83" s="502"/>
      <c r="R83" s="117" t="s">
        <v>219</v>
      </c>
    </row>
    <row r="84" spans="1:18" ht="14.25" customHeight="1" thickBot="1">
      <c r="A84" s="188" t="s">
        <v>464</v>
      </c>
      <c r="B84" s="149"/>
      <c r="C84" s="149"/>
      <c r="D84" s="150"/>
      <c r="E84" s="150"/>
      <c r="F84" s="150"/>
      <c r="G84" s="150"/>
      <c r="H84" s="149"/>
      <c r="I84" s="151"/>
      <c r="J84" s="149"/>
      <c r="K84" s="841">
        <f ca="1">'BP1'!K80+'BP2'!K80+'BP3'!K80+'BP4'!K80+'BP5'!K80</f>
        <v>0</v>
      </c>
      <c r="L84" s="841"/>
      <c r="M84" s="231"/>
      <c r="N84" s="767">
        <f ca="1">'BP1'!N80+'BP2'!N80+'BP3'!N80+'BP4'!N80+'BP5'!N80</f>
        <v>0</v>
      </c>
      <c r="O84" s="772"/>
      <c r="R84" s="117" t="s">
        <v>219</v>
      </c>
    </row>
    <row r="85" spans="1:18" ht="14.25" customHeight="1" thickBot="1">
      <c r="A85" s="359"/>
      <c r="B85" s="263"/>
      <c r="C85" s="263"/>
      <c r="D85" s="261"/>
      <c r="E85" s="261"/>
      <c r="F85" s="261"/>
      <c r="G85" s="261"/>
      <c r="H85" s="263"/>
      <c r="I85" s="264"/>
      <c r="J85" s="263"/>
      <c r="K85" s="326"/>
      <c r="L85" s="326"/>
      <c r="M85" s="231"/>
      <c r="N85" s="237"/>
      <c r="O85" s="237"/>
      <c r="R85" s="117" t="s">
        <v>219</v>
      </c>
    </row>
    <row r="86" spans="1:18" ht="14.25" customHeight="1" thickBot="1">
      <c r="K86" s="777"/>
      <c r="L86" s="777"/>
      <c r="N86" s="778">
        <f>$A$5</f>
        <v>4</v>
      </c>
      <c r="O86" s="779"/>
      <c r="P86" s="839" t="s">
        <v>423</v>
      </c>
      <c r="Q86" s="840"/>
      <c r="R86" s="117" t="s">
        <v>219</v>
      </c>
    </row>
    <row r="87" spans="1:18" ht="14.25" customHeight="1" thickBot="1">
      <c r="G87" s="786" t="str">
        <f ca="1">IF(('BP1'!$N$80+'BP2'!$N$80+'BP3'!$N$80+'BP4'!$N$80+'BP5'!$N$80)&gt;0,"NORTHWESTERN COST-SHARE","")</f>
        <v/>
      </c>
      <c r="H87" s="786"/>
      <c r="I87" s="786"/>
      <c r="J87" s="786"/>
      <c r="K87" s="786"/>
      <c r="L87" s="786"/>
      <c r="N87" s="752">
        <f>SUM(N62:N73)</f>
        <v>0</v>
      </c>
      <c r="O87" s="753"/>
      <c r="P87" s="820">
        <f ca="1">'BP1'!$N$87+'BP2'!$N$87+'BP3'!$N$87+'BP4'!$N$87+'BP5'!$N$87</f>
        <v>0</v>
      </c>
      <c r="Q87" s="821">
        <f>'BP1'!Q78+'BP2'!Q78+'BP3'!Q78+'BP4'!Q78+'BP5'!Q78</f>
        <v>0</v>
      </c>
      <c r="R87" s="117" t="s">
        <v>219</v>
      </c>
    </row>
    <row r="88" spans="1:18" ht="14.25" customHeight="1" thickBot="1">
      <c r="F88" s="261"/>
      <c r="G88" s="786" t="str">
        <f ca="1">IF(('BP1'!$N$80+'BP2'!$N$80+'BP3'!$N$80+'BP4'!$N$80+'BP5'!$N$80)&gt;0,"SUBAWARD COST-SHARE","")</f>
        <v/>
      </c>
      <c r="H88" s="786"/>
      <c r="I88" s="786"/>
      <c r="J88" s="786"/>
      <c r="K88" s="786"/>
      <c r="L88" s="786"/>
      <c r="M88" s="1"/>
      <c r="N88" s="752">
        <f>SUM(N62:N73)</f>
        <v>0</v>
      </c>
      <c r="O88" s="753"/>
      <c r="P88" s="820">
        <f>'BP1'!$N$88+'BP2'!$N$88+'BP3'!$N$88+'BP4'!$N$88+'BP5'!$N$88</f>
        <v>0</v>
      </c>
      <c r="Q88" s="821">
        <f>'BP1'!Q79+'BP2'!Q79+'BP3'!Q79+'BP4'!Q79+'BP5'!Q79</f>
        <v>0</v>
      </c>
      <c r="R88" s="117" t="s">
        <v>219</v>
      </c>
    </row>
    <row r="89" spans="1:18" ht="14.25" customHeight="1" thickBot="1">
      <c r="F89" s="261"/>
      <c r="G89" s="786" t="str">
        <f ca="1">IF(('BP1'!$N$80+'BP2'!$N$80+'BP3'!$N$80+'BP4'!$N$80+'BP5'!$N$80)&gt;0,"THIRD PARTY COST-SHARE","")</f>
        <v/>
      </c>
      <c r="H89" s="786"/>
      <c r="I89" s="786"/>
      <c r="J89" s="786"/>
      <c r="K89" s="786"/>
      <c r="L89" s="786"/>
      <c r="M89" s="1"/>
      <c r="N89" s="787"/>
      <c r="O89" s="788"/>
      <c r="P89" s="820">
        <f>'BP1'!$N$89+'BP2'!$N$89+'BP3'!$N$89+'BP4'!$N$89+'BP5'!$N$89</f>
        <v>0</v>
      </c>
      <c r="Q89" s="821">
        <f>'BP1'!Q78+'BP2'!Q78+'BP3'!Q78+'BP4'!Q78+'BP5'!Q78</f>
        <v>0</v>
      </c>
      <c r="R89" s="117" t="s">
        <v>219</v>
      </c>
    </row>
    <row r="90" spans="1:18" ht="14.25" customHeight="1" thickBot="1">
      <c r="F90" s="259"/>
      <c r="G90" s="786" t="str">
        <f ca="1">IF(('BP1'!$N$80+'BP2'!$N$80+'BP3'!$N$80+'BP4'!$N$80+'BP5'!$N$80)&gt;0,"TOTAL COST-SHARED","")</f>
        <v/>
      </c>
      <c r="H90" s="786"/>
      <c r="I90" s="786"/>
      <c r="J90" s="786"/>
      <c r="K90" s="786"/>
      <c r="L90" s="786"/>
      <c r="M90" s="1"/>
      <c r="N90" s="752">
        <f ca="1">$N$80+$N$89</f>
        <v>0</v>
      </c>
      <c r="O90" s="753"/>
      <c r="P90" s="820">
        <f ca="1">'BP1'!$N$90+'BP2'!$N$90+'BP3'!$N$90+'BP4'!$N$90+'BP5'!$N$90</f>
        <v>0</v>
      </c>
      <c r="Q90" s="821">
        <f>'BP1'!Q79+'BP2'!Q79+'BP3'!Q79+'BP4'!Q79+'BP5'!Q79</f>
        <v>0</v>
      </c>
      <c r="R90" s="117" t="s">
        <v>219</v>
      </c>
    </row>
    <row r="91" spans="1:18" ht="14.25" customHeight="1" thickBot="1">
      <c r="F91" s="784" t="str">
        <f ca="1">IF(('BP1'!$N$80+'BP2'!$N$80+'BP3'!$N$80+'BP4'!$N$80+'BP5'!$N$80)&gt;0,"TOTAL SPONSOR COSTS","")</f>
        <v/>
      </c>
      <c r="G91" s="784"/>
      <c r="H91" s="784"/>
      <c r="I91" s="784"/>
      <c r="J91" s="784"/>
      <c r="K91" s="784"/>
      <c r="L91" s="784"/>
      <c r="M91" s="1"/>
      <c r="N91" s="752">
        <f ca="1">IF(('BP1'!$N$80+'BP2'!$N$80+'BP3'!$N$80+'BP4'!$N$80+'BP5'!$N$80)&gt;0,$K$80,)</f>
        <v>0</v>
      </c>
      <c r="O91" s="753"/>
      <c r="P91" s="820">
        <f ca="1">'BP1'!$N$91+'BP2'!$N$91+'BP3'!$N$91+'BP4'!$N$91+'BP5'!$N$91</f>
        <v>0</v>
      </c>
      <c r="Q91" s="821">
        <f>'BP1'!Q80+'BP2'!Q80+'BP3'!Q80+'BP4'!Q80+'BP5'!Q80</f>
        <v>0</v>
      </c>
      <c r="R91" s="117" t="s">
        <v>219</v>
      </c>
    </row>
    <row r="92" spans="1:18" ht="14.25" customHeight="1" thickBot="1">
      <c r="F92" s="784" t="str">
        <f ca="1">IF(('BP1'!$N$80+'BP2'!$N$80+'BP3'!$N$80+'BP4'!$N$80+'BP5'!$N$80)&gt;0,"NORTHWESTERN SPONSOR COSTS","")</f>
        <v/>
      </c>
      <c r="G92" s="784"/>
      <c r="H92" s="784"/>
      <c r="I92" s="784"/>
      <c r="J92" s="784"/>
      <c r="K92" s="784"/>
      <c r="L92" s="784"/>
      <c r="M92" s="1"/>
      <c r="N92" s="752">
        <f ca="1">IF(('BP1'!$N$80+'BP2'!$N$80+'BP3'!$N$80+'BP4'!$N$80+'BP5'!$N$80)&gt;0,$K$80-SUM(K62:L73),)</f>
        <v>0</v>
      </c>
      <c r="O92" s="753"/>
      <c r="P92" s="820">
        <f ca="1">'BP1'!$N$92+'BP2'!$N$892+'BP3'!$N$92+'BP4'!$N$92+'BP5'!$N$92</f>
        <v>0</v>
      </c>
      <c r="Q92" s="821">
        <f>'BP1'!Q83+'BP2'!Q83+'BP3'!Q83+'BP4'!Q83+'BP5'!Q83</f>
        <v>0</v>
      </c>
      <c r="R92" s="117" t="s">
        <v>219</v>
      </c>
    </row>
    <row r="93" spans="1:18" ht="14.25" customHeight="1" thickBot="1">
      <c r="F93" s="259"/>
      <c r="G93" s="784" t="str">
        <f ca="1">IF(('BP1'!$N$80+'BP2'!$N$80+'BP3'!$N$80+'BP4'!$N$80+'BP5'!$N$80)&gt;0,"PROJECT COSTS","")</f>
        <v/>
      </c>
      <c r="H93" s="784"/>
      <c r="I93" s="784"/>
      <c r="J93" s="784"/>
      <c r="K93" s="784"/>
      <c r="L93" s="784"/>
      <c r="M93" s="1"/>
      <c r="N93" s="752">
        <f ca="1">IF(('BP1'!$N$80+'BP2'!$N$80+'BP3'!$N$80+'BP4'!$N$80+'BP5'!$N$80)&gt;0,$N$91+$N$90,)</f>
        <v>0</v>
      </c>
      <c r="O93" s="753"/>
      <c r="P93" s="820">
        <f ca="1">'BP1'!$N$93+'BP2'!$N$93+'BP3'!$N$93+'BP4'!$N$93+'BP5'!$N$93</f>
        <v>0</v>
      </c>
      <c r="Q93" s="821">
        <f>'BP1'!Q81+'BP2'!Q81+'BP3'!Q81+'BP4'!Q81+'BP5'!Q81</f>
        <v>0</v>
      </c>
      <c r="R93" s="117" t="s">
        <v>219</v>
      </c>
    </row>
    <row r="94" spans="1:18" ht="14.25" customHeight="1" thickBot="1">
      <c r="F94" s="260"/>
      <c r="G94" s="785" t="str">
        <f ca="1">IF(('BP1'!$N$80+'BP2'!$N$80+'BP3'!$N$80+'BP4'!$N$80+'BP5'!$N$80)&gt;0,"COST-SHARE AS % OF SPONSOR COSTS","")</f>
        <v/>
      </c>
      <c r="H94" s="785"/>
      <c r="I94" s="785"/>
      <c r="J94" s="785"/>
      <c r="K94" s="785"/>
      <c r="L94" s="785"/>
      <c r="M94" s="1"/>
      <c r="N94" s="775">
        <f ca="1">IFERROR($N$90/$N$91,)</f>
        <v>0</v>
      </c>
      <c r="O94" s="776"/>
      <c r="P94" s="842">
        <f ca="1">IFERROR($P$90/$P$91,)</f>
        <v>0</v>
      </c>
      <c r="Q94" s="843"/>
      <c r="R94" s="117" t="s">
        <v>219</v>
      </c>
    </row>
    <row r="95" spans="1:18" ht="14.25" customHeight="1" thickBot="1">
      <c r="F95" s="784" t="str">
        <f ca="1">IF(('BP1'!$N$80+'BP2'!$N$80+'BP3'!$N$80+'BP4'!$N$80+'BP5'!$N$80)&gt;0,"COST-SHARE AS % OF PROJECT COSTS","")</f>
        <v/>
      </c>
      <c r="G95" s="784"/>
      <c r="H95" s="784"/>
      <c r="I95" s="784"/>
      <c r="J95" s="784"/>
      <c r="K95" s="784"/>
      <c r="L95" s="784"/>
      <c r="M95" s="1"/>
      <c r="N95" s="775">
        <f ca="1">IFERROR($N$90/$N$93,)</f>
        <v>0</v>
      </c>
      <c r="O95" s="776"/>
      <c r="P95" s="842">
        <f ca="1">IFERROR($P$90/$P$93,)</f>
        <v>0</v>
      </c>
      <c r="Q95" s="843"/>
      <c r="R95" s="117" t="s">
        <v>219</v>
      </c>
    </row>
    <row r="96" spans="1:18" ht="12.75"/>
  </sheetData>
  <sheetProtection formatCells="0" formatColumns="0" formatRows="0"/>
  <autoFilter ref="R1:R95" xr:uid="{00000000-0009-0000-0000-000005000000}">
    <filterColumn colId="0">
      <filters>
        <filter val="A) Condensed"/>
      </filters>
    </filterColumn>
  </autoFilter>
  <mergeCells count="202">
    <mergeCell ref="K75:L75"/>
    <mergeCell ref="K71:L71"/>
    <mergeCell ref="N86:O86"/>
    <mergeCell ref="P86:Q86"/>
    <mergeCell ref="P89:Q89"/>
    <mergeCell ref="P90:Q90"/>
    <mergeCell ref="P91:Q91"/>
    <mergeCell ref="G88:L88"/>
    <mergeCell ref="N88:O88"/>
    <mergeCell ref="P88:Q88"/>
    <mergeCell ref="N80:O80"/>
    <mergeCell ref="N84:O84"/>
    <mergeCell ref="N82:O82"/>
    <mergeCell ref="G73:I73"/>
    <mergeCell ref="K76:L76"/>
    <mergeCell ref="G87:L87"/>
    <mergeCell ref="N87:O87"/>
    <mergeCell ref="P87:Q87"/>
    <mergeCell ref="H53:J53"/>
    <mergeCell ref="K49:L49"/>
    <mergeCell ref="B49:F49"/>
    <mergeCell ref="K51:L51"/>
    <mergeCell ref="K50:L50"/>
    <mergeCell ref="K86:L86"/>
    <mergeCell ref="G89:L89"/>
    <mergeCell ref="G90:L90"/>
    <mergeCell ref="G93:L93"/>
    <mergeCell ref="K84:L84"/>
    <mergeCell ref="K68:L68"/>
    <mergeCell ref="K69:L69"/>
    <mergeCell ref="K70:L70"/>
    <mergeCell ref="K64:L64"/>
    <mergeCell ref="K65:L65"/>
    <mergeCell ref="K66:L66"/>
    <mergeCell ref="K67:L67"/>
    <mergeCell ref="K72:L72"/>
    <mergeCell ref="K73:L73"/>
    <mergeCell ref="K80:L80"/>
    <mergeCell ref="K79:L79"/>
    <mergeCell ref="K83:L83"/>
    <mergeCell ref="K82:L82"/>
    <mergeCell ref="K74:L74"/>
    <mergeCell ref="H51:J51"/>
    <mergeCell ref="H52:J52"/>
    <mergeCell ref="B45:F45"/>
    <mergeCell ref="K43:L43"/>
    <mergeCell ref="K41:L41"/>
    <mergeCell ref="K46:L46"/>
    <mergeCell ref="K47:L47"/>
    <mergeCell ref="K42:L42"/>
    <mergeCell ref="K45:L45"/>
    <mergeCell ref="K48:L48"/>
    <mergeCell ref="B48:F48"/>
    <mergeCell ref="B46:F46"/>
    <mergeCell ref="B47:F47"/>
    <mergeCell ref="K61:L61"/>
    <mergeCell ref="K62:L62"/>
    <mergeCell ref="K57:L57"/>
    <mergeCell ref="K58:L58"/>
    <mergeCell ref="K63:L63"/>
    <mergeCell ref="C61:J61"/>
    <mergeCell ref="K52:L52"/>
    <mergeCell ref="K55:L55"/>
    <mergeCell ref="K56:L56"/>
    <mergeCell ref="C59:J59"/>
    <mergeCell ref="C60:J60"/>
    <mergeCell ref="C55:J55"/>
    <mergeCell ref="C56:J56"/>
    <mergeCell ref="C57:J57"/>
    <mergeCell ref="C58:J58"/>
    <mergeCell ref="K53:L53"/>
    <mergeCell ref="K59:L59"/>
    <mergeCell ref="G62:I62"/>
    <mergeCell ref="E62:F62"/>
    <mergeCell ref="C62:D62"/>
    <mergeCell ref="C63:D63"/>
    <mergeCell ref="E63:F63"/>
    <mergeCell ref="G63:I63"/>
    <mergeCell ref="K60:L60"/>
    <mergeCell ref="P95:Q95"/>
    <mergeCell ref="N90:O90"/>
    <mergeCell ref="N91:O91"/>
    <mergeCell ref="N93:O93"/>
    <mergeCell ref="N94:O94"/>
    <mergeCell ref="N95:O95"/>
    <mergeCell ref="N89:O89"/>
    <mergeCell ref="F91:L91"/>
    <mergeCell ref="F95:L95"/>
    <mergeCell ref="P93:Q93"/>
    <mergeCell ref="P94:Q94"/>
    <mergeCell ref="G94:L94"/>
    <mergeCell ref="F92:L92"/>
    <mergeCell ref="N92:O92"/>
    <mergeCell ref="P92:Q92"/>
    <mergeCell ref="B17:F17"/>
    <mergeCell ref="B18:F18"/>
    <mergeCell ref="B20:F20"/>
    <mergeCell ref="B22:F22"/>
    <mergeCell ref="B23:F23"/>
    <mergeCell ref="A30:F30"/>
    <mergeCell ref="B21:F21"/>
    <mergeCell ref="B19:F19"/>
    <mergeCell ref="B24:F24"/>
    <mergeCell ref="B25:F25"/>
    <mergeCell ref="B26:F26"/>
    <mergeCell ref="B27:F27"/>
    <mergeCell ref="B28:F28"/>
    <mergeCell ref="B29:F29"/>
    <mergeCell ref="N49:O49"/>
    <mergeCell ref="N50:O50"/>
    <mergeCell ref="N51:O51"/>
    <mergeCell ref="N52:O52"/>
    <mergeCell ref="N53:O53"/>
    <mergeCell ref="N55:O55"/>
    <mergeCell ref="N56:O56"/>
    <mergeCell ref="N57:O57"/>
    <mergeCell ref="N69:O69"/>
    <mergeCell ref="N58:O58"/>
    <mergeCell ref="N59:O59"/>
    <mergeCell ref="N60:O60"/>
    <mergeCell ref="N61:O61"/>
    <mergeCell ref="N62:O62"/>
    <mergeCell ref="N63:O63"/>
    <mergeCell ref="N64:O64"/>
    <mergeCell ref="N65:O65"/>
    <mergeCell ref="N66:O66"/>
    <mergeCell ref="N67:O67"/>
    <mergeCell ref="N68:O68"/>
    <mergeCell ref="M1:O9"/>
    <mergeCell ref="M10:O11"/>
    <mergeCell ref="N41:O41"/>
    <mergeCell ref="N42:O42"/>
    <mergeCell ref="N43:O43"/>
    <mergeCell ref="N45:O45"/>
    <mergeCell ref="N46:O46"/>
    <mergeCell ref="N47:O47"/>
    <mergeCell ref="N48:O48"/>
    <mergeCell ref="N12:O13"/>
    <mergeCell ref="G12:G14"/>
    <mergeCell ref="A1:J4"/>
    <mergeCell ref="K1:L1"/>
    <mergeCell ref="K4:L4"/>
    <mergeCell ref="A5:J6"/>
    <mergeCell ref="K5:L5"/>
    <mergeCell ref="K6:L6"/>
    <mergeCell ref="E9:G9"/>
    <mergeCell ref="B16:F16"/>
    <mergeCell ref="K12:L13"/>
    <mergeCell ref="H8:J9"/>
    <mergeCell ref="H10:J11"/>
    <mergeCell ref="K8:L9"/>
    <mergeCell ref="K10:L11"/>
    <mergeCell ref="B15:F15"/>
    <mergeCell ref="H12:J12"/>
    <mergeCell ref="H13:J13"/>
    <mergeCell ref="E11:G11"/>
    <mergeCell ref="K7:L7"/>
    <mergeCell ref="K3:L3"/>
    <mergeCell ref="A9:D9"/>
    <mergeCell ref="A11:D11"/>
    <mergeCell ref="N70:O70"/>
    <mergeCell ref="N75:O75"/>
    <mergeCell ref="N78:O78"/>
    <mergeCell ref="N79:O79"/>
    <mergeCell ref="C70:D70"/>
    <mergeCell ref="C71:D71"/>
    <mergeCell ref="A78:F78"/>
    <mergeCell ref="A79:F79"/>
    <mergeCell ref="H79:J79"/>
    <mergeCell ref="G77:H77"/>
    <mergeCell ref="I77:J77"/>
    <mergeCell ref="C72:D72"/>
    <mergeCell ref="C73:D73"/>
    <mergeCell ref="N71:O71"/>
    <mergeCell ref="N72:O72"/>
    <mergeCell ref="N73:O73"/>
    <mergeCell ref="N74:O74"/>
    <mergeCell ref="E70:F70"/>
    <mergeCell ref="G70:I70"/>
    <mergeCell ref="E71:F71"/>
    <mergeCell ref="G71:I71"/>
    <mergeCell ref="E72:F72"/>
    <mergeCell ref="G72:I72"/>
    <mergeCell ref="E73:F73"/>
    <mergeCell ref="C64:D64"/>
    <mergeCell ref="C65:D65"/>
    <mergeCell ref="C66:D66"/>
    <mergeCell ref="C67:D67"/>
    <mergeCell ref="C68:D68"/>
    <mergeCell ref="C69:D69"/>
    <mergeCell ref="E67:F67"/>
    <mergeCell ref="G67:I67"/>
    <mergeCell ref="E68:F68"/>
    <mergeCell ref="G68:I68"/>
    <mergeCell ref="E69:F69"/>
    <mergeCell ref="G69:I69"/>
    <mergeCell ref="E64:F64"/>
    <mergeCell ref="G64:I64"/>
    <mergeCell ref="E65:F65"/>
    <mergeCell ref="G65:I65"/>
    <mergeCell ref="E66:F66"/>
    <mergeCell ref="G66:I66"/>
  </mergeCells>
  <phoneticPr fontId="10" type="noConversion"/>
  <conditionalFormatting sqref="Q15:Q29">
    <cfRule type="cellIs" dxfId="12" priority="7" operator="greaterThan">
      <formula>0</formula>
    </cfRule>
  </conditionalFormatting>
  <conditionalFormatting sqref="I77:J77">
    <cfRule type="expression" dxfId="11" priority="5">
      <formula>$L$2&lt;&gt;"Custom"</formula>
    </cfRule>
    <cfRule type="expression" dxfId="10" priority="6">
      <formula>$L$2="Custom"</formula>
    </cfRule>
  </conditionalFormatting>
  <conditionalFormatting sqref="P88:Q95">
    <cfRule type="expression" dxfId="9" priority="4">
      <formula>$N$80&gt;0</formula>
    </cfRule>
  </conditionalFormatting>
  <conditionalFormatting sqref="P86:Q86">
    <cfRule type="expression" dxfId="8" priority="2">
      <formula>$N$80&gt;0</formula>
    </cfRule>
  </conditionalFormatting>
  <conditionalFormatting sqref="P87:Q87">
    <cfRule type="expression" dxfId="7" priority="1">
      <formula>$N$80&gt;0</formula>
    </cfRule>
  </conditionalFormatting>
  <dataValidations count="3">
    <dataValidation errorStyle="warning" allowBlank="1" showInputMessage="1" sqref="K7" xr:uid="{00000000-0002-0000-0500-000000000000}"/>
    <dataValidation allowBlank="1" showErrorMessage="1" sqref="L2 K2:K3" xr:uid="{00000000-0002-0000-0500-000001000000}"/>
    <dataValidation type="whole" allowBlank="1" showInputMessage="1" showErrorMessage="1" sqref="A5:J6" xr:uid="{00000000-0002-0000-0500-000002000000}">
      <formula1>1</formula1>
      <formula2>20</formula2>
    </dataValidation>
  </dataValidations>
  <printOptions horizontalCentered="1" verticalCentered="1"/>
  <pageMargins left="0.5" right="0.5" top="0.5" bottom="1" header="0.5" footer="0.5"/>
  <pageSetup scale="91" orientation="portrait" horizontalDpi="300" verticalDpi="300" r:id="rId1"/>
  <headerFooter alignWithMargins="0"/>
  <ignoredErrors>
    <ignoredError sqref="A4:O7 A53:O61 A51:F52 H51:J52 A41:O50 A34:A37 C34:F37 A32:F33 A38:F40 H37:L37 K51:O52 A1:O2 A85:O86 H78:O78 H79:O79 H89:O89 A93:O93 A89:F90 H90:M90 A94:G94 H94:O94 A15:L15 E8:G11 K8:O9 A11 I12:O12 H40:L40 H38:K38 N38:O38 K11:O11 K10:L10 N10:O10 A77:H77 J77:O77 A81:O81 B82:M82 A74:O74 G62:I73 B80:O80 B75:J75 L75:O75 D62:F62 D63:F63 D64:F64 D65:F65 D66:F66 D67:F67 D68:F68 D69:F69 D70:F70 D71:F71 A62:B73 D72:F72 D73:F73 B84:M84 O90 O82 O84 O72 O71 O70 O69 O68 O67 O66 O65 O64 O63 O62 O73 N72 N73 N62 N63 N64 N65 N66 N67 N68 N69 N70 N71 A12:F14 H13:O14 A91:E91 O91 G91:M91 A30:O31 A16 C16:L16 A17 C17:L17 A18 C18:L18 A19 C19:L19 A20 C20:L20 A21 C21:L21 A22 C22:L22 A23 C23:L23 A24 C24:L24 A25 C25:L25 A26 C26:L26 A27 C27:L27 A28 C28:L28 A29 C29:L29 N15:O15 N16:O16 N17:O17 N18:O18 N19:O19 N20:O20 N21:O21 N22:O22 N23:O23 N24:O24 N25:O25 N26:O26 N27:O27 N28:O28 N29:O29 H32:L32 N32:O32 H33:L33 N33:O33 H34:L34 N34:O34 H35:L35 N35:O35 H36:L36 N36:O36 N37:O37 H39:L39 N39:O39 N40:O40" unlockedFormula="1"/>
    <ignoredError sqref="G51:G52" numberStoredAsText="1"/>
    <ignoredError sqref="J62:J73" evalError="1" unlockedFormula="1"/>
  </ignoredError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filterMode="1">
    <tabColor theme="4" tint="0.59999389629810485"/>
    <pageSetUpPr fitToPage="1"/>
  </sheetPr>
  <dimension ref="A1:R96"/>
  <sheetViews>
    <sheetView showGridLines="0" showZeros="0" zoomScaleNormal="100" workbookViewId="0">
      <selection activeCell="R1" sqref="R1"/>
    </sheetView>
  </sheetViews>
  <sheetFormatPr defaultColWidth="10.7109375" defaultRowHeight="12" customHeight="1" outlineLevelCol="1"/>
  <cols>
    <col min="1" max="1" width="2.42578125" style="6" customWidth="1"/>
    <col min="2" max="2" width="3.85546875" customWidth="1"/>
    <col min="3" max="3" width="1.5703125" customWidth="1"/>
    <col min="4" max="4" width="27.140625" style="3" customWidth="1"/>
    <col min="5" max="5" width="6.5703125" style="3" customWidth="1"/>
    <col min="6" max="6" width="9" style="3" customWidth="1"/>
    <col min="7" max="7" width="11.28515625" customWidth="1"/>
    <col min="8" max="9" width="6.85546875" customWidth="1"/>
    <col min="10" max="10" width="6.85546875" style="118" customWidth="1"/>
    <col min="11" max="11" width="12.140625" customWidth="1"/>
    <col min="12" max="12" width="12.140625" style="81" customWidth="1"/>
    <col min="13" max="13" width="5.85546875" style="81" bestFit="1" customWidth="1" outlineLevel="1"/>
    <col min="14" max="14" width="12.140625" customWidth="1" outlineLevel="1"/>
    <col min="15" max="15" width="12.140625" style="81" customWidth="1" outlineLevel="1"/>
    <col min="16" max="17" width="14.42578125" style="1" customWidth="1"/>
    <col min="18" max="18" width="35.7109375" style="1" customWidth="1"/>
    <col min="19" max="22" width="10.7109375" style="1" customWidth="1"/>
    <col min="23" max="16384" width="10.7109375" style="1"/>
  </cols>
  <sheetData>
    <row r="1" spans="1:18" ht="14.25" customHeight="1" thickBot="1">
      <c r="A1" s="854" t="str">
        <f>'BP1'!A1:L1</f>
        <v>Title</v>
      </c>
      <c r="B1" s="855"/>
      <c r="C1" s="855"/>
      <c r="D1" s="855"/>
      <c r="E1" s="855"/>
      <c r="F1" s="855"/>
      <c r="G1" s="855"/>
      <c r="H1" s="855"/>
      <c r="I1" s="855"/>
      <c r="J1" s="856"/>
      <c r="K1" s="722" t="s">
        <v>225</v>
      </c>
      <c r="L1" s="723"/>
      <c r="M1" s="844"/>
      <c r="N1" s="844"/>
      <c r="O1" s="844"/>
      <c r="R1" s="119" t="s">
        <v>188</v>
      </c>
    </row>
    <row r="2" spans="1:18" ht="14.25" customHeight="1">
      <c r="A2" s="857"/>
      <c r="B2" s="858"/>
      <c r="C2" s="858"/>
      <c r="D2" s="858"/>
      <c r="E2" s="858"/>
      <c r="F2" s="858"/>
      <c r="G2" s="858"/>
      <c r="H2" s="858"/>
      <c r="I2" s="858"/>
      <c r="J2" s="858"/>
      <c r="K2" s="462" t="str">
        <f>'BP1'!K2</f>
        <v>Federal</v>
      </c>
      <c r="L2" s="463" t="str">
        <f>'BP1'!L2</f>
        <v>On Campus</v>
      </c>
      <c r="M2" s="844"/>
      <c r="N2" s="844"/>
      <c r="O2" s="844"/>
      <c r="R2" s="117" t="s">
        <v>219</v>
      </c>
    </row>
    <row r="3" spans="1:18" ht="14.25" customHeight="1">
      <c r="A3" s="857"/>
      <c r="B3" s="858"/>
      <c r="C3" s="858"/>
      <c r="D3" s="858"/>
      <c r="E3" s="858"/>
      <c r="F3" s="858"/>
      <c r="G3" s="858"/>
      <c r="H3" s="858"/>
      <c r="I3" s="858"/>
      <c r="J3" s="858"/>
      <c r="K3" s="825" t="str">
        <f>'BP1'!K3</f>
        <v>MTDC</v>
      </c>
      <c r="L3" s="826"/>
      <c r="M3" s="844"/>
      <c r="N3" s="844"/>
      <c r="O3" s="844"/>
      <c r="R3" s="117" t="s">
        <v>219</v>
      </c>
    </row>
    <row r="4" spans="1:18" ht="14.25" customHeight="1">
      <c r="A4" s="857"/>
      <c r="B4" s="858"/>
      <c r="C4" s="858"/>
      <c r="D4" s="858"/>
      <c r="E4" s="858"/>
      <c r="F4" s="858"/>
      <c r="G4" s="858"/>
      <c r="H4" s="858"/>
      <c r="I4" s="858"/>
      <c r="J4" s="859"/>
      <c r="K4" s="724" t="s">
        <v>445</v>
      </c>
      <c r="L4" s="725"/>
      <c r="M4" s="844"/>
      <c r="N4" s="844"/>
      <c r="O4" s="844"/>
      <c r="R4" s="117" t="s">
        <v>219</v>
      </c>
    </row>
    <row r="5" spans="1:18" ht="14.25" customHeight="1">
      <c r="A5" s="713">
        <f>'BP4'!A5+1</f>
        <v>5</v>
      </c>
      <c r="B5" s="714"/>
      <c r="C5" s="714"/>
      <c r="D5" s="714"/>
      <c r="E5" s="714"/>
      <c r="F5" s="714"/>
      <c r="G5" s="714"/>
      <c r="H5" s="714"/>
      <c r="I5" s="714"/>
      <c r="J5" s="715"/>
      <c r="K5" s="850">
        <f>'BP1'!K5</f>
        <v>1</v>
      </c>
      <c r="L5" s="851"/>
      <c r="M5" s="844"/>
      <c r="N5" s="844"/>
      <c r="O5" s="844"/>
      <c r="R5" s="117" t="s">
        <v>219</v>
      </c>
    </row>
    <row r="6" spans="1:18" ht="13.5" customHeight="1">
      <c r="A6" s="713"/>
      <c r="B6" s="714"/>
      <c r="C6" s="714"/>
      <c r="D6" s="714"/>
      <c r="E6" s="714"/>
      <c r="F6" s="714"/>
      <c r="G6" s="714"/>
      <c r="H6" s="714"/>
      <c r="I6" s="714"/>
      <c r="J6" s="715"/>
      <c r="K6" s="728" t="s">
        <v>98</v>
      </c>
      <c r="L6" s="729"/>
      <c r="M6" s="845"/>
      <c r="N6" s="844"/>
      <c r="O6" s="844"/>
      <c r="R6" s="117" t="s">
        <v>219</v>
      </c>
    </row>
    <row r="7" spans="1:18" ht="13.5" customHeight="1">
      <c r="A7" s="214"/>
      <c r="B7" s="215"/>
      <c r="C7" s="215"/>
      <c r="D7" s="216"/>
      <c r="E7" s="216"/>
      <c r="F7" s="216"/>
      <c r="G7" s="217"/>
      <c r="H7" s="215"/>
      <c r="I7" s="215"/>
      <c r="J7" s="218"/>
      <c r="K7" s="852">
        <f>'BP1'!$K$7</f>
        <v>0.03</v>
      </c>
      <c r="L7" s="853"/>
      <c r="M7" s="845"/>
      <c r="N7" s="844"/>
      <c r="O7" s="844"/>
      <c r="R7" s="117" t="s">
        <v>219</v>
      </c>
    </row>
    <row r="8" spans="1:18" ht="14.25" customHeight="1">
      <c r="A8" s="179" t="s">
        <v>200</v>
      </c>
      <c r="B8" s="180"/>
      <c r="C8" s="180"/>
      <c r="D8" s="181"/>
      <c r="E8" s="182" t="str">
        <f>'BP1'!E8</f>
        <v>Originating Sponsor</v>
      </c>
      <c r="F8" s="156"/>
      <c r="G8" s="156"/>
      <c r="H8" s="738" t="s">
        <v>514</v>
      </c>
      <c r="I8" s="738"/>
      <c r="J8" s="739"/>
      <c r="K8" s="734">
        <f>EDATE('BP4'!K10,0)+1</f>
        <v>44804</v>
      </c>
      <c r="L8" s="827"/>
      <c r="M8" s="845"/>
      <c r="N8" s="844"/>
      <c r="O8" s="844"/>
      <c r="R8" s="117" t="s">
        <v>219</v>
      </c>
    </row>
    <row r="9" spans="1:18" s="2" customFormat="1" ht="14.25" customHeight="1">
      <c r="A9" s="709" t="s">
        <v>1</v>
      </c>
      <c r="B9" s="710"/>
      <c r="C9" s="710"/>
      <c r="D9" s="710"/>
      <c r="E9" s="860">
        <f>'BP1'!E9</f>
        <v>0</v>
      </c>
      <c r="F9" s="860"/>
      <c r="G9" s="860"/>
      <c r="H9" s="740"/>
      <c r="I9" s="740"/>
      <c r="J9" s="741"/>
      <c r="K9" s="828"/>
      <c r="L9" s="829"/>
      <c r="M9" s="846"/>
      <c r="N9" s="847"/>
      <c r="O9" s="847"/>
      <c r="R9" s="117" t="s">
        <v>219</v>
      </c>
    </row>
    <row r="10" spans="1:18" s="2" customFormat="1" ht="14.25" customHeight="1">
      <c r="A10" s="183" t="s">
        <v>205</v>
      </c>
      <c r="B10" s="144"/>
      <c r="C10" s="144"/>
      <c r="D10" s="145"/>
      <c r="E10" s="182" t="str">
        <f>'BP1'!E10</f>
        <v>Flow-through Sponsor</v>
      </c>
      <c r="F10" s="156"/>
      <c r="G10" s="156"/>
      <c r="H10" s="738" t="s">
        <v>515</v>
      </c>
      <c r="I10" s="738"/>
      <c r="J10" s="739"/>
      <c r="K10" s="734">
        <f>EDATE(K8,12)-1</f>
        <v>45168</v>
      </c>
      <c r="L10" s="827"/>
      <c r="M10" s="747" t="s">
        <v>562</v>
      </c>
      <c r="N10" s="748"/>
      <c r="O10" s="848"/>
      <c r="R10" s="117" t="s">
        <v>219</v>
      </c>
    </row>
    <row r="11" spans="1:18" s="2" customFormat="1" ht="14.25" customHeight="1">
      <c r="A11" s="711" t="str">
        <f>'BP1'!A11:D11</f>
        <v>Professor McCormick</v>
      </c>
      <c r="B11" s="712"/>
      <c r="C11" s="712"/>
      <c r="D11" s="712"/>
      <c r="E11" s="860">
        <f>'BP1'!E11</f>
        <v>0</v>
      </c>
      <c r="F11" s="860"/>
      <c r="G11" s="860"/>
      <c r="H11" s="740"/>
      <c r="I11" s="740"/>
      <c r="J11" s="741"/>
      <c r="K11" s="828"/>
      <c r="L11" s="829"/>
      <c r="M11" s="749"/>
      <c r="N11" s="750"/>
      <c r="O11" s="849"/>
      <c r="R11" s="117" t="s">
        <v>219</v>
      </c>
    </row>
    <row r="12" spans="1:18" s="2" customFormat="1" ht="14.25" customHeight="1">
      <c r="A12" s="183" t="s">
        <v>202</v>
      </c>
      <c r="B12" s="144"/>
      <c r="C12" s="144"/>
      <c r="D12" s="157"/>
      <c r="E12" s="157"/>
      <c r="F12" s="331"/>
      <c r="G12" s="689" t="s">
        <v>902</v>
      </c>
      <c r="H12" s="692" t="s">
        <v>516</v>
      </c>
      <c r="I12" s="693"/>
      <c r="J12" s="694"/>
      <c r="K12" s="700" t="s">
        <v>35</v>
      </c>
      <c r="L12" s="701"/>
      <c r="M12" s="378" t="s">
        <v>286</v>
      </c>
      <c r="N12" s="700" t="s">
        <v>35</v>
      </c>
      <c r="O12" s="701"/>
      <c r="R12" s="117" t="s">
        <v>219</v>
      </c>
    </row>
    <row r="13" spans="1:18" s="2" customFormat="1" ht="14.25" customHeight="1">
      <c r="A13" s="143"/>
      <c r="B13" s="144"/>
      <c r="C13" s="144"/>
      <c r="D13" s="157"/>
      <c r="E13" s="157"/>
      <c r="F13" s="332"/>
      <c r="G13" s="690"/>
      <c r="H13" s="789" t="s">
        <v>285</v>
      </c>
      <c r="I13" s="790"/>
      <c r="J13" s="791"/>
      <c r="K13" s="702"/>
      <c r="L13" s="703"/>
      <c r="M13" s="377" t="s">
        <v>287</v>
      </c>
      <c r="N13" s="702"/>
      <c r="O13" s="703"/>
      <c r="R13" s="117" t="s">
        <v>219</v>
      </c>
    </row>
    <row r="14" spans="1:18" s="2" customFormat="1" ht="14.25" customHeight="1">
      <c r="A14" s="143"/>
      <c r="B14" s="155"/>
      <c r="C14" s="155"/>
      <c r="D14" s="153"/>
      <c r="E14" s="153"/>
      <c r="F14" s="379"/>
      <c r="G14" s="691"/>
      <c r="H14" s="173" t="s">
        <v>2</v>
      </c>
      <c r="I14" s="174" t="s">
        <v>198</v>
      </c>
      <c r="J14" s="174" t="s">
        <v>199</v>
      </c>
      <c r="K14" s="170" t="s">
        <v>33</v>
      </c>
      <c r="L14" s="171" t="s">
        <v>34</v>
      </c>
      <c r="M14" s="236" t="s">
        <v>288</v>
      </c>
      <c r="N14" s="170" t="s">
        <v>33</v>
      </c>
      <c r="O14" s="171" t="s">
        <v>34</v>
      </c>
      <c r="P14" s="195" t="s">
        <v>109</v>
      </c>
      <c r="Q14" s="195" t="s">
        <v>862</v>
      </c>
      <c r="R14" s="117" t="s">
        <v>219</v>
      </c>
    </row>
    <row r="15" spans="1:18" s="2" customFormat="1" ht="14.25" customHeight="1">
      <c r="A15" s="184">
        <v>1</v>
      </c>
      <c r="B15" s="830">
        <f>IF($A$5&lt;=$K$5,'BP1'!B15,)</f>
        <v>0</v>
      </c>
      <c r="C15" s="831"/>
      <c r="D15" s="831"/>
      <c r="E15" s="831"/>
      <c r="F15" s="832"/>
      <c r="G15" s="229">
        <f>IF($A$5&lt;=$K$5,'BP1'!G15,)</f>
        <v>0</v>
      </c>
      <c r="H15" s="219">
        <f>IF($G15&gt;0,'BP4'!H15,)</f>
        <v>0</v>
      </c>
      <c r="I15" s="220">
        <f>IF($G15&gt;0,'BP4'!I15,)</f>
        <v>0</v>
      </c>
      <c r="J15" s="220">
        <f>IF($G15&gt;0,'BP4'!J15,)</f>
        <v>0</v>
      </c>
      <c r="K15" s="140">
        <f ca="1">IFERROR(IF(Q15&gt;0,Q15/G15*(SUM(H15:J15)),P15/G15*(SUM(H15:J15))),)</f>
        <v>0</v>
      </c>
      <c r="L15" s="141">
        <f ca="1">IF(K15&gt;4,K15*LOOKUP($K$8,Lists!$A$2:$A$812,IF($K$2="Non-Federal",Lists!$D$2:$D$812,Lists!$C$2:$C$812)),0)</f>
        <v>0</v>
      </c>
      <c r="M15" s="234">
        <f>IF(G15&gt;0,'BP4'!M15,)</f>
        <v>0</v>
      </c>
      <c r="N15" s="140">
        <f ca="1">IFERROR(IF(Q15&gt;0,Q15/G15*M15,P15/G15*M15),)</f>
        <v>0</v>
      </c>
      <c r="O15" s="141">
        <f ca="1">N15*LOOKUP($K$8,Lists!$A$2:$A$812,IF($K$2="Non-Federal",Lists!$D$2:$D$812,Lists!$C$2:$C$812))</f>
        <v>0</v>
      </c>
      <c r="P15" s="205">
        <f ca="1">IF($A$5&lt;='BP1'!$K$5,(1+$K$7)*INDIRECT("BP"&amp;$A$5-1&amp;"!P15"),)</f>
        <v>0</v>
      </c>
      <c r="Q15" s="205">
        <f t="shared" ref="Q15:Q29" si="0">IF(COUNTIF(NIH,$E$9)&gt;0,(IF(G15&gt;0,IF((P15/G15)*12&gt;NIHSalCap,(NIHSalCap/12)*G15,),)),)</f>
        <v>0</v>
      </c>
      <c r="R15" s="117" t="s">
        <v>219</v>
      </c>
    </row>
    <row r="16" spans="1:18" s="2" customFormat="1" ht="14.25" customHeight="1">
      <c r="A16" s="184">
        <v>2</v>
      </c>
      <c r="B16" s="830">
        <f>IF($A$5&lt;=$K$5,'BP1'!B16,)</f>
        <v>0</v>
      </c>
      <c r="C16" s="831"/>
      <c r="D16" s="831"/>
      <c r="E16" s="831"/>
      <c r="F16" s="832"/>
      <c r="G16" s="229">
        <f>IF($A$5&lt;=$K$5,'BP1'!G16,)</f>
        <v>0</v>
      </c>
      <c r="H16" s="219">
        <f>IF($G16&gt;0,'BP4'!H16,)</f>
        <v>0</v>
      </c>
      <c r="I16" s="220">
        <f>IF($G16&gt;0,'BP4'!I16,)</f>
        <v>0</v>
      </c>
      <c r="J16" s="220">
        <f>IF($G16&gt;0,'BP4'!J16,)</f>
        <v>0</v>
      </c>
      <c r="K16" s="140">
        <f ca="1">IFERROR(IF(Q16&gt;0,Q16/G16*(SUM(H16:J16)),P16/G16*(SUM(H16:J16))),)</f>
        <v>0</v>
      </c>
      <c r="L16" s="141">
        <f ca="1">IF(K16&gt;4,K16*LOOKUP($K$8,Lists!$A$2:$A$812,IF($K$2="Non-Federal",Lists!$D$2:$D$812,Lists!$C$2:$C$812)),0)</f>
        <v>0</v>
      </c>
      <c r="M16" s="234">
        <f>IF(G16&gt;0,'BP4'!M16,)</f>
        <v>0</v>
      </c>
      <c r="N16" s="140">
        <f t="shared" ref="N16:N29" ca="1" si="1">IFERROR(IF(Q16&gt;0,Q16/G16*M16,P16/G16*M16),)</f>
        <v>0</v>
      </c>
      <c r="O16" s="141">
        <f ca="1">N16*LOOKUP($K$8,Lists!$A$2:$A$812,IF($K$2="Non-Federal",Lists!$D$2:$D$812,Lists!$C$2:$C$812))</f>
        <v>0</v>
      </c>
      <c r="P16" s="205">
        <f ca="1">IF($A$5&lt;='BP1'!$K$5,(1+$K$7)*INDIRECT("BP"&amp;$A$5-1&amp;"!P16"),)</f>
        <v>0</v>
      </c>
      <c r="Q16" s="205">
        <f>IF(COUNTIF(NIH,$E$9)&gt;0,(IF(G16&gt;0,IF((P16/G16)*12&gt;NIHSalCap,(NIHSalCap/12)*G16,),)),)</f>
        <v>0</v>
      </c>
      <c r="R16" s="117" t="s">
        <v>219</v>
      </c>
    </row>
    <row r="17" spans="1:18" s="2" customFormat="1" ht="14.25" customHeight="1">
      <c r="A17" s="184">
        <v>3</v>
      </c>
      <c r="B17" s="830">
        <f>IF($A$5&lt;=$K$5,'BP1'!B17,)</f>
        <v>0</v>
      </c>
      <c r="C17" s="831"/>
      <c r="D17" s="831"/>
      <c r="E17" s="831"/>
      <c r="F17" s="832"/>
      <c r="G17" s="229">
        <f>IF($A$5&lt;=$K$5,'BP1'!G17,)</f>
        <v>0</v>
      </c>
      <c r="H17" s="219">
        <f>IF($G17&gt;0,'BP4'!H17,)</f>
        <v>0</v>
      </c>
      <c r="I17" s="220">
        <f>IF($G17&gt;0,'BP4'!I17,)</f>
        <v>0</v>
      </c>
      <c r="J17" s="220">
        <f>IF($G17&gt;0,'BP4'!J17,)</f>
        <v>0</v>
      </c>
      <c r="K17" s="140">
        <f t="shared" ref="K17:K29" ca="1" si="2">IFERROR(IF(Q17&gt;0,Q17/G17*(SUM(H17:J17)),P17/G17*(SUM(H17:J17))),)</f>
        <v>0</v>
      </c>
      <c r="L17" s="141">
        <f ca="1">IF(K17&gt;4,K17*LOOKUP($K$8,Lists!$A$2:$A$812,IF($K$2="Non-Federal",Lists!$D$2:$D$812,Lists!$C$2:$C$812)),0)</f>
        <v>0</v>
      </c>
      <c r="M17" s="234">
        <f>IF(G17&gt;0,'BP4'!M17,)</f>
        <v>0</v>
      </c>
      <c r="N17" s="140">
        <f t="shared" ca="1" si="1"/>
        <v>0</v>
      </c>
      <c r="O17" s="141">
        <f ca="1">N17*LOOKUP($K$8,Lists!$A$2:$A$812,IF($K$2="Non-Federal",Lists!$D$2:$D$812,Lists!$C$2:$C$812))</f>
        <v>0</v>
      </c>
      <c r="P17" s="205">
        <f ca="1">IF($A$5&lt;='BP1'!$K$5,(1+$K$7)*INDIRECT("BP"&amp;$A$5-1&amp;"!P17"),)</f>
        <v>0</v>
      </c>
      <c r="Q17" s="205">
        <f t="shared" si="0"/>
        <v>0</v>
      </c>
      <c r="R17" s="117" t="s">
        <v>219</v>
      </c>
    </row>
    <row r="18" spans="1:18" s="2" customFormat="1" ht="14.25" customHeight="1">
      <c r="A18" s="184">
        <v>4</v>
      </c>
      <c r="B18" s="830">
        <f>IF($A$5&lt;=$K$5,'BP1'!B18,)</f>
        <v>0</v>
      </c>
      <c r="C18" s="831"/>
      <c r="D18" s="831"/>
      <c r="E18" s="831"/>
      <c r="F18" s="832"/>
      <c r="G18" s="229">
        <f>IF($A$5&lt;=$K$5,'BP1'!G18,)</f>
        <v>0</v>
      </c>
      <c r="H18" s="219">
        <f>IF($G18&gt;0,'BP4'!H18,)</f>
        <v>0</v>
      </c>
      <c r="I18" s="220">
        <f>IF($G18&gt;0,'BP4'!I18,)</f>
        <v>0</v>
      </c>
      <c r="J18" s="220">
        <f>IF($G18&gt;0,'BP4'!J18,)</f>
        <v>0</v>
      </c>
      <c r="K18" s="140">
        <f t="shared" ca="1" si="2"/>
        <v>0</v>
      </c>
      <c r="L18" s="141">
        <f ca="1">IF(K18&gt;4,K18*LOOKUP($K$8,Lists!$A$2:$A$812,IF($K$2="Non-Federal",Lists!$D$2:$D$812,Lists!$C$2:$C$812)),0)</f>
        <v>0</v>
      </c>
      <c r="M18" s="234">
        <f>IF(G18&gt;0,'BP4'!M18,)</f>
        <v>0</v>
      </c>
      <c r="N18" s="140">
        <f t="shared" ca="1" si="1"/>
        <v>0</v>
      </c>
      <c r="O18" s="141">
        <f ca="1">N18*LOOKUP($K$8,Lists!$A$2:$A$812,IF($K$2="Non-Federal",Lists!$D$2:$D$812,Lists!$C$2:$C$812))</f>
        <v>0</v>
      </c>
      <c r="P18" s="205">
        <f ca="1">IF($A$5&lt;='BP1'!$K$5,(1+$K$7)*INDIRECT("BP"&amp;$A$5-1&amp;"!P18"),)</f>
        <v>0</v>
      </c>
      <c r="Q18" s="205">
        <f t="shared" si="0"/>
        <v>0</v>
      </c>
      <c r="R18" s="117" t="s">
        <v>219</v>
      </c>
    </row>
    <row r="19" spans="1:18" s="2" customFormat="1" ht="14.25" customHeight="1">
      <c r="A19" s="184">
        <v>5</v>
      </c>
      <c r="B19" s="830">
        <f>IF($A$5&lt;=$K$5,'BP1'!B19,)</f>
        <v>0</v>
      </c>
      <c r="C19" s="831"/>
      <c r="D19" s="831"/>
      <c r="E19" s="831"/>
      <c r="F19" s="832"/>
      <c r="G19" s="229">
        <f>IF($A$5&lt;=$K$5,'BP1'!G19,)</f>
        <v>0</v>
      </c>
      <c r="H19" s="219">
        <f>IF($G19&gt;0,'BP4'!H19,)</f>
        <v>0</v>
      </c>
      <c r="I19" s="220">
        <f>IF($G19&gt;0,'BP4'!I19,)</f>
        <v>0</v>
      </c>
      <c r="J19" s="220">
        <f>IF($G19&gt;0,'BP4'!J19,)</f>
        <v>0</v>
      </c>
      <c r="K19" s="140">
        <f t="shared" ca="1" si="2"/>
        <v>0</v>
      </c>
      <c r="L19" s="141">
        <f ca="1">IF(K19&gt;4,K19*LOOKUP($K$8,Lists!$A$2:$A$812,IF($K$2="Non-Federal",Lists!$D$2:$D$812,Lists!$C$2:$C$812)),0)</f>
        <v>0</v>
      </c>
      <c r="M19" s="234">
        <f>IF(G19&gt;0,'BP4'!M19,)</f>
        <v>0</v>
      </c>
      <c r="N19" s="140">
        <f t="shared" ca="1" si="1"/>
        <v>0</v>
      </c>
      <c r="O19" s="141">
        <f ca="1">N19*LOOKUP($K$8,Lists!$A$2:$A$812,IF($K$2="Non-Federal",Lists!$D$2:$D$812,Lists!$C$2:$C$812))</f>
        <v>0</v>
      </c>
      <c r="P19" s="205">
        <f ca="1">IF($A$5&lt;='BP1'!$K$5,(1+$K$7)*INDIRECT("BP"&amp;$A$5-1&amp;"!P19"),)</f>
        <v>0</v>
      </c>
      <c r="Q19" s="205">
        <f t="shared" si="0"/>
        <v>0</v>
      </c>
      <c r="R19" s="117" t="s">
        <v>219</v>
      </c>
    </row>
    <row r="20" spans="1:18" s="2" customFormat="1" ht="14.25" hidden="1" customHeight="1">
      <c r="A20" s="184">
        <v>6</v>
      </c>
      <c r="B20" s="830">
        <f>IF($A$5&lt;=$K$5,'BP1'!B20,)</f>
        <v>0</v>
      </c>
      <c r="C20" s="831"/>
      <c r="D20" s="831"/>
      <c r="E20" s="831"/>
      <c r="F20" s="832"/>
      <c r="G20" s="229">
        <f>IF($A$5&lt;=$K$5,'BP1'!G20,)</f>
        <v>0</v>
      </c>
      <c r="H20" s="219">
        <f>IF($G20&gt;0,'BP4'!H20,)</f>
        <v>0</v>
      </c>
      <c r="I20" s="220">
        <f>IF($G20&gt;0,'BP4'!I20,)</f>
        <v>0</v>
      </c>
      <c r="J20" s="220">
        <f>IF($G20&gt;0,'BP4'!J20,)</f>
        <v>0</v>
      </c>
      <c r="K20" s="140">
        <f t="shared" ca="1" si="2"/>
        <v>0</v>
      </c>
      <c r="L20" s="141">
        <f ca="1">IF(K20&gt;4,K20*LOOKUP($K$8,Lists!$A$2:$A$812,IF($K$2="Non-Federal",Lists!$D$2:$D$812,Lists!$C$2:$C$812)),0)</f>
        <v>0</v>
      </c>
      <c r="M20" s="234">
        <f>IF(G20&gt;0,'BP4'!M20,)</f>
        <v>0</v>
      </c>
      <c r="N20" s="140">
        <f t="shared" ca="1" si="1"/>
        <v>0</v>
      </c>
      <c r="O20" s="141">
        <f ca="1">N20*LOOKUP($K$8,Lists!$A$2:$A$812,IF($K$2="Non-Federal",Lists!$D$2:$D$812,Lists!$C$2:$C$812))</f>
        <v>0</v>
      </c>
      <c r="P20" s="205">
        <f ca="1">IF($A$5&lt;='BP1'!$K$5,(1+$K$7)*INDIRECT("BP"&amp;$A$5-1&amp;"!P20"),)</f>
        <v>0</v>
      </c>
      <c r="Q20" s="205">
        <f t="shared" si="0"/>
        <v>0</v>
      </c>
      <c r="R20" s="117" t="s">
        <v>485</v>
      </c>
    </row>
    <row r="21" spans="1:18" s="2" customFormat="1" ht="14.25" hidden="1" customHeight="1">
      <c r="A21" s="184">
        <v>7</v>
      </c>
      <c r="B21" s="830">
        <f>IF($A$5&lt;=$K$5,'BP1'!B21,)</f>
        <v>0</v>
      </c>
      <c r="C21" s="831"/>
      <c r="D21" s="831"/>
      <c r="E21" s="831"/>
      <c r="F21" s="832"/>
      <c r="G21" s="229">
        <f>IF($A$5&lt;=$K$5,'BP1'!G21,)</f>
        <v>0</v>
      </c>
      <c r="H21" s="219">
        <f>IF($G21&gt;0,'BP4'!H21,)</f>
        <v>0</v>
      </c>
      <c r="I21" s="220">
        <f>IF($G21&gt;0,'BP4'!I21,)</f>
        <v>0</v>
      </c>
      <c r="J21" s="220">
        <f>IF($G21&gt;0,'BP4'!J21,)</f>
        <v>0</v>
      </c>
      <c r="K21" s="140">
        <f t="shared" ca="1" si="2"/>
        <v>0</v>
      </c>
      <c r="L21" s="141">
        <f ca="1">IF(K21&gt;4,K21*LOOKUP($K$8,Lists!$A$2:$A$812,IF($K$2="Non-Federal",Lists!$D$2:$D$812,Lists!$C$2:$C$812)),0)</f>
        <v>0</v>
      </c>
      <c r="M21" s="234">
        <f>IF(G21&gt;0,'BP4'!M21,)</f>
        <v>0</v>
      </c>
      <c r="N21" s="140">
        <f t="shared" ca="1" si="1"/>
        <v>0</v>
      </c>
      <c r="O21" s="141">
        <f ca="1">N21*LOOKUP($K$8,Lists!$A$2:$A$812,IF($K$2="Non-Federal",Lists!$D$2:$D$812,Lists!$C$2:$C$812))</f>
        <v>0</v>
      </c>
      <c r="P21" s="205">
        <f ca="1">IF($A$5&lt;='BP1'!$K$5,(1+$K$7)*INDIRECT("BP"&amp;$A$5-1&amp;"!P21"),)</f>
        <v>0</v>
      </c>
      <c r="Q21" s="205">
        <f t="shared" si="0"/>
        <v>0</v>
      </c>
      <c r="R21" s="117" t="s">
        <v>485</v>
      </c>
    </row>
    <row r="22" spans="1:18" s="2" customFormat="1" ht="14.25" hidden="1" customHeight="1">
      <c r="A22" s="184">
        <v>8</v>
      </c>
      <c r="B22" s="830">
        <f>IF($A$5&lt;=$K$5,'BP1'!B22,)</f>
        <v>0</v>
      </c>
      <c r="C22" s="831"/>
      <c r="D22" s="831"/>
      <c r="E22" s="831"/>
      <c r="F22" s="832"/>
      <c r="G22" s="229">
        <f>IF($A$5&lt;=$K$5,'BP1'!G22,)</f>
        <v>0</v>
      </c>
      <c r="H22" s="219">
        <f>IF($G22&gt;0,'BP4'!H22,)</f>
        <v>0</v>
      </c>
      <c r="I22" s="220">
        <f>IF($G22&gt;0,'BP4'!I22,)</f>
        <v>0</v>
      </c>
      <c r="J22" s="220">
        <f>IF($G22&gt;0,'BP4'!J22,)</f>
        <v>0</v>
      </c>
      <c r="K22" s="140">
        <f t="shared" ca="1" si="2"/>
        <v>0</v>
      </c>
      <c r="L22" s="141">
        <f ca="1">IF(K22&gt;4,K22*LOOKUP($K$8,Lists!$A$2:$A$812,IF($K$2="Non-Federal",Lists!$D$2:$D$812,Lists!$C$2:$C$812)),0)</f>
        <v>0</v>
      </c>
      <c r="M22" s="234">
        <f>IF(G22&gt;0,'BP4'!M22,)</f>
        <v>0</v>
      </c>
      <c r="N22" s="140">
        <f t="shared" ca="1" si="1"/>
        <v>0</v>
      </c>
      <c r="O22" s="141">
        <f ca="1">N22*LOOKUP($K$8,Lists!$A$2:$A$812,IF($K$2="Non-Federal",Lists!$D$2:$D$812,Lists!$C$2:$C$812))</f>
        <v>0</v>
      </c>
      <c r="P22" s="205">
        <f ca="1">IF($A$5&lt;='BP1'!$K$5,(1+$K$7)*INDIRECT("BP"&amp;$A$5-1&amp;"!P22"),)</f>
        <v>0</v>
      </c>
      <c r="Q22" s="205">
        <f t="shared" si="0"/>
        <v>0</v>
      </c>
      <c r="R22" s="117" t="s">
        <v>485</v>
      </c>
    </row>
    <row r="23" spans="1:18" s="2" customFormat="1" ht="14.25" hidden="1" customHeight="1">
      <c r="A23" s="184">
        <v>9</v>
      </c>
      <c r="B23" s="830">
        <f>IF($A$5&lt;=$K$5,'BP1'!B23,)</f>
        <v>0</v>
      </c>
      <c r="C23" s="831"/>
      <c r="D23" s="831"/>
      <c r="E23" s="831"/>
      <c r="F23" s="832"/>
      <c r="G23" s="229">
        <f>IF($A$5&lt;=$K$5,'BP1'!G23,)</f>
        <v>0</v>
      </c>
      <c r="H23" s="219">
        <f>IF($G23&gt;0,'BP4'!H23,)</f>
        <v>0</v>
      </c>
      <c r="I23" s="220">
        <f>IF($G23&gt;0,'BP4'!I23,)</f>
        <v>0</v>
      </c>
      <c r="J23" s="220">
        <f>IF($G23&gt;0,'BP4'!J23,)</f>
        <v>0</v>
      </c>
      <c r="K23" s="140">
        <f t="shared" ca="1" si="2"/>
        <v>0</v>
      </c>
      <c r="L23" s="141">
        <f ca="1">IF(K23&gt;4,K23*LOOKUP($K$8,Lists!$A$2:$A$812,IF($K$2="Non-Federal",Lists!$D$2:$D$812,Lists!$C$2:$C$812)),0)</f>
        <v>0</v>
      </c>
      <c r="M23" s="234">
        <f>IF(G23&gt;0,'BP4'!M23,)</f>
        <v>0</v>
      </c>
      <c r="N23" s="140">
        <f t="shared" ca="1" si="1"/>
        <v>0</v>
      </c>
      <c r="O23" s="141">
        <f ca="1">N23*LOOKUP($K$8,Lists!$A$2:$A$812,IF($K$2="Non-Federal",Lists!$D$2:$D$812,Lists!$C$2:$C$812))</f>
        <v>0</v>
      </c>
      <c r="P23" s="205">
        <f ca="1">IF($A$5&lt;='BP1'!$K$5,(1+$K$7)*INDIRECT("BP"&amp;$A$5-1&amp;"!P23"),)</f>
        <v>0</v>
      </c>
      <c r="Q23" s="205">
        <f t="shared" si="0"/>
        <v>0</v>
      </c>
      <c r="R23" s="117" t="s">
        <v>485</v>
      </c>
    </row>
    <row r="24" spans="1:18" s="2" customFormat="1" ht="14.25" hidden="1" customHeight="1">
      <c r="A24" s="184">
        <v>10</v>
      </c>
      <c r="B24" s="830">
        <f>IF($A$5&lt;=$K$5,'BP1'!B24,)</f>
        <v>0</v>
      </c>
      <c r="C24" s="831"/>
      <c r="D24" s="831"/>
      <c r="E24" s="831"/>
      <c r="F24" s="832"/>
      <c r="G24" s="229">
        <f>IF($A$5&lt;=$K$5,'BP1'!G24,)</f>
        <v>0</v>
      </c>
      <c r="H24" s="219">
        <f>IF($G24&gt;0,'BP4'!H24,)</f>
        <v>0</v>
      </c>
      <c r="I24" s="220">
        <f>IF($G24&gt;0,'BP4'!I24,)</f>
        <v>0</v>
      </c>
      <c r="J24" s="220">
        <f>IF($G24&gt;0,'BP4'!J24,)</f>
        <v>0</v>
      </c>
      <c r="K24" s="140">
        <f t="shared" ca="1" si="2"/>
        <v>0</v>
      </c>
      <c r="L24" s="141">
        <f ca="1">IF(K24&gt;4,K24*LOOKUP($K$8,Lists!$A$2:$A$812,IF($K$2="Non-Federal",Lists!$D$2:$D$812,Lists!$C$2:$C$812)),0)</f>
        <v>0</v>
      </c>
      <c r="M24" s="234">
        <f>IF(G24&gt;0,'BP4'!M24,)</f>
        <v>0</v>
      </c>
      <c r="N24" s="140">
        <f t="shared" ca="1" si="1"/>
        <v>0</v>
      </c>
      <c r="O24" s="141">
        <f ca="1">N24*LOOKUP($K$8,Lists!$A$2:$A$812,IF($K$2="Non-Federal",Lists!$D$2:$D$812,Lists!$C$2:$C$812))</f>
        <v>0</v>
      </c>
      <c r="P24" s="205">
        <f ca="1">IF($A$5&lt;='BP1'!$K$5,(1+$K$7)*INDIRECT("BP"&amp;$A$5-1&amp;"!P24"),)</f>
        <v>0</v>
      </c>
      <c r="Q24" s="205">
        <f t="shared" si="0"/>
        <v>0</v>
      </c>
      <c r="R24" s="117" t="s">
        <v>485</v>
      </c>
    </row>
    <row r="25" spans="1:18" s="2" customFormat="1" ht="14.25" hidden="1" customHeight="1">
      <c r="A25" s="184">
        <v>11</v>
      </c>
      <c r="B25" s="830">
        <f>IF($A$5&lt;=$K$5,'BP1'!B25,)</f>
        <v>0</v>
      </c>
      <c r="C25" s="831"/>
      <c r="D25" s="831"/>
      <c r="E25" s="831"/>
      <c r="F25" s="832"/>
      <c r="G25" s="229">
        <f>IF($A$5&lt;=$K$5,'BP1'!G25,)</f>
        <v>0</v>
      </c>
      <c r="H25" s="219">
        <f>IF($G25&gt;0,'BP4'!H25,)</f>
        <v>0</v>
      </c>
      <c r="I25" s="220">
        <f>IF($G25&gt;0,'BP4'!I25,)</f>
        <v>0</v>
      </c>
      <c r="J25" s="220">
        <f>IF($G25&gt;0,'BP4'!J25,)</f>
        <v>0</v>
      </c>
      <c r="K25" s="140">
        <f t="shared" ca="1" si="2"/>
        <v>0</v>
      </c>
      <c r="L25" s="141">
        <f ca="1">IF(K25&gt;4,K25*LOOKUP($K$8,Lists!$A$2:$A$812,IF($K$2="Non-Federal",Lists!$D$2:$D$812,Lists!$C$2:$C$812)),0)</f>
        <v>0</v>
      </c>
      <c r="M25" s="234">
        <f>IF(G25&gt;0,'BP4'!M25,)</f>
        <v>0</v>
      </c>
      <c r="N25" s="140">
        <f t="shared" ca="1" si="1"/>
        <v>0</v>
      </c>
      <c r="O25" s="141">
        <f ca="1">N25*LOOKUP($K$8,Lists!$A$2:$A$812,IF($K$2="Non-Federal",Lists!$D$2:$D$812,Lists!$C$2:$C$812))</f>
        <v>0</v>
      </c>
      <c r="P25" s="205">
        <f ca="1">IF($A$5&lt;='BP1'!$K$5,(1+$K$7)*INDIRECT("BP"&amp;$A$5-1&amp;"!P25"),)</f>
        <v>0</v>
      </c>
      <c r="Q25" s="205">
        <f t="shared" si="0"/>
        <v>0</v>
      </c>
      <c r="R25" s="117" t="s">
        <v>486</v>
      </c>
    </row>
    <row r="26" spans="1:18" s="2" customFormat="1" ht="14.25" hidden="1" customHeight="1">
      <c r="A26" s="184">
        <v>12</v>
      </c>
      <c r="B26" s="830">
        <f>IF($A$5&lt;=$K$5,'BP1'!B26,)</f>
        <v>0</v>
      </c>
      <c r="C26" s="831"/>
      <c r="D26" s="831"/>
      <c r="E26" s="831"/>
      <c r="F26" s="832"/>
      <c r="G26" s="229">
        <f>IF($A$5&lt;=$K$5,'BP1'!G26,)</f>
        <v>0</v>
      </c>
      <c r="H26" s="219">
        <f>IF($G26&gt;0,'BP4'!H26,)</f>
        <v>0</v>
      </c>
      <c r="I26" s="220">
        <f>IF($G26&gt;0,'BP4'!I26,)</f>
        <v>0</v>
      </c>
      <c r="J26" s="220">
        <f>IF($G26&gt;0,'BP4'!J26,)</f>
        <v>0</v>
      </c>
      <c r="K26" s="140">
        <f t="shared" ca="1" si="2"/>
        <v>0</v>
      </c>
      <c r="L26" s="141">
        <f ca="1">IF(K26&gt;4,K26*LOOKUP($K$8,Lists!$A$2:$A$812,IF($K$2="Non-Federal",Lists!$D$2:$D$812,Lists!$C$2:$C$812)),0)</f>
        <v>0</v>
      </c>
      <c r="M26" s="234">
        <f>IF(G26&gt;0,'BP4'!M26,)</f>
        <v>0</v>
      </c>
      <c r="N26" s="140">
        <f t="shared" ca="1" si="1"/>
        <v>0</v>
      </c>
      <c r="O26" s="141">
        <f ca="1">N26*LOOKUP($K$8,Lists!$A$2:$A$812,IF($K$2="Non-Federal",Lists!$D$2:$D$812,Lists!$C$2:$C$812))</f>
        <v>0</v>
      </c>
      <c r="P26" s="205">
        <f ca="1">IF($A$5&lt;='BP1'!$K$5,(1+$K$7)*INDIRECT("BP"&amp;$A$5-1&amp;"!P26"),)</f>
        <v>0</v>
      </c>
      <c r="Q26" s="205">
        <f t="shared" si="0"/>
        <v>0</v>
      </c>
      <c r="R26" s="117" t="s">
        <v>486</v>
      </c>
    </row>
    <row r="27" spans="1:18" s="2" customFormat="1" ht="14.25" hidden="1" customHeight="1">
      <c r="A27" s="184">
        <v>13</v>
      </c>
      <c r="B27" s="830">
        <f>IF($A$5&lt;=$K$5,'BP1'!B27,)</f>
        <v>0</v>
      </c>
      <c r="C27" s="831"/>
      <c r="D27" s="831"/>
      <c r="E27" s="831"/>
      <c r="F27" s="832"/>
      <c r="G27" s="229">
        <f>IF($A$5&lt;=$K$5,'BP1'!G27,)</f>
        <v>0</v>
      </c>
      <c r="H27" s="219">
        <f>IF($G27&gt;0,'BP4'!H27,)</f>
        <v>0</v>
      </c>
      <c r="I27" s="220">
        <f>IF($G27&gt;0,'BP4'!I27,)</f>
        <v>0</v>
      </c>
      <c r="J27" s="220">
        <f>IF($G27&gt;0,'BP4'!J27,)</f>
        <v>0</v>
      </c>
      <c r="K27" s="140">
        <f t="shared" ca="1" si="2"/>
        <v>0</v>
      </c>
      <c r="L27" s="141">
        <f ca="1">IF(K27&gt;4,K27*LOOKUP($K$8,Lists!$A$2:$A$812,IF($K$2="Non-Federal",Lists!$D$2:$D$812,Lists!$C$2:$C$812)),0)</f>
        <v>0</v>
      </c>
      <c r="M27" s="234">
        <f>IF(G27&gt;0,'BP4'!M27,)</f>
        <v>0</v>
      </c>
      <c r="N27" s="140">
        <f t="shared" ca="1" si="1"/>
        <v>0</v>
      </c>
      <c r="O27" s="141">
        <f ca="1">N27*LOOKUP($K$8,Lists!$A$2:$A$812,IF($K$2="Non-Federal",Lists!$D$2:$D$812,Lists!$C$2:$C$812))</f>
        <v>0</v>
      </c>
      <c r="P27" s="205">
        <f ca="1">IF($A$5&lt;='BP1'!$K$5,(1+$K$7)*INDIRECT("BP"&amp;$A$5-1&amp;"!P27"),)</f>
        <v>0</v>
      </c>
      <c r="Q27" s="205">
        <f t="shared" si="0"/>
        <v>0</v>
      </c>
      <c r="R27" s="117" t="s">
        <v>486</v>
      </c>
    </row>
    <row r="28" spans="1:18" s="2" customFormat="1" ht="14.25" hidden="1" customHeight="1">
      <c r="A28" s="184">
        <v>14</v>
      </c>
      <c r="B28" s="830">
        <f>IF($A$5&lt;=$K$5,'BP1'!B28,)</f>
        <v>0</v>
      </c>
      <c r="C28" s="831"/>
      <c r="D28" s="831"/>
      <c r="E28" s="831"/>
      <c r="F28" s="832"/>
      <c r="G28" s="229">
        <f>IF($A$5&lt;=$K$5,'BP1'!G28,)</f>
        <v>0</v>
      </c>
      <c r="H28" s="219">
        <f>IF($G28&gt;0,'BP4'!H28,)</f>
        <v>0</v>
      </c>
      <c r="I28" s="220">
        <f>IF($G28&gt;0,'BP4'!I28,)</f>
        <v>0</v>
      </c>
      <c r="J28" s="220">
        <f>IF($G28&gt;0,'BP4'!J28,)</f>
        <v>0</v>
      </c>
      <c r="K28" s="140">
        <f t="shared" ca="1" si="2"/>
        <v>0</v>
      </c>
      <c r="L28" s="141">
        <f ca="1">IF(K28&gt;4,K28*LOOKUP($K$8,Lists!$A$2:$A$812,IF($K$2="Non-Federal",Lists!$D$2:$D$812,Lists!$C$2:$C$812)),0)</f>
        <v>0</v>
      </c>
      <c r="M28" s="234">
        <f>IF(G28&gt;0,'BP4'!M28,)</f>
        <v>0</v>
      </c>
      <c r="N28" s="140">
        <f t="shared" ca="1" si="1"/>
        <v>0</v>
      </c>
      <c r="O28" s="141">
        <f ca="1">N28*LOOKUP($K$8,Lists!$A$2:$A$812,IF($K$2="Non-Federal",Lists!$D$2:$D$812,Lists!$C$2:$C$812))</f>
        <v>0</v>
      </c>
      <c r="P28" s="205">
        <f ca="1">IF($A$5&lt;='BP1'!$K$5,(1+$K$7)*INDIRECT("BP"&amp;$A$5-1&amp;"!P28"),)</f>
        <v>0</v>
      </c>
      <c r="Q28" s="205">
        <f t="shared" si="0"/>
        <v>0</v>
      </c>
      <c r="R28" s="117" t="s">
        <v>486</v>
      </c>
    </row>
    <row r="29" spans="1:18" s="2" customFormat="1" ht="14.25" hidden="1" customHeight="1">
      <c r="A29" s="184">
        <v>15</v>
      </c>
      <c r="B29" s="830">
        <f>IF($A$5&lt;=$K$5,'BP1'!B29,)</f>
        <v>0</v>
      </c>
      <c r="C29" s="831"/>
      <c r="D29" s="831"/>
      <c r="E29" s="831"/>
      <c r="F29" s="832"/>
      <c r="G29" s="229">
        <f>IF($A$5&lt;=$K$5,'BP1'!G29,)</f>
        <v>0</v>
      </c>
      <c r="H29" s="219">
        <f>IF($G29&gt;0,'BP4'!H29,)</f>
        <v>0</v>
      </c>
      <c r="I29" s="220">
        <f>IF($G29&gt;0,'BP4'!I29,)</f>
        <v>0</v>
      </c>
      <c r="J29" s="220">
        <f>IF($G29&gt;0,'BP4'!J29,)</f>
        <v>0</v>
      </c>
      <c r="K29" s="140">
        <f t="shared" ca="1" si="2"/>
        <v>0</v>
      </c>
      <c r="L29" s="141">
        <f ca="1">IF(K29&gt;4,K29*LOOKUP($K$8,Lists!$A$2:$A$812,IF($K$2="Non-Federal",Lists!$D$2:$D$812,Lists!$C$2:$C$812)),0)</f>
        <v>0</v>
      </c>
      <c r="M29" s="234">
        <f>IF(G29&gt;0,'BP4'!M29,)</f>
        <v>0</v>
      </c>
      <c r="N29" s="140">
        <f t="shared" ca="1" si="1"/>
        <v>0</v>
      </c>
      <c r="O29" s="141">
        <f ca="1">N29*LOOKUP($K$8,Lists!$A$2:$A$812,IF($K$2="Non-Federal",Lists!$D$2:$D$812,Lists!$C$2:$C$812))</f>
        <v>0</v>
      </c>
      <c r="P29" s="205">
        <f ca="1">IF($A$5&lt;='BP1'!$K$5,(1+$K$7)*INDIRECT("BP"&amp;$A$5-1&amp;"!P29"),)</f>
        <v>0</v>
      </c>
      <c r="Q29" s="205">
        <f t="shared" si="0"/>
        <v>0</v>
      </c>
      <c r="R29" s="117" t="s">
        <v>486</v>
      </c>
    </row>
    <row r="30" spans="1:18" s="2" customFormat="1" ht="14.25" customHeight="1">
      <c r="A30" s="742" t="s">
        <v>203</v>
      </c>
      <c r="B30" s="743"/>
      <c r="C30" s="743"/>
      <c r="D30" s="743"/>
      <c r="E30" s="743"/>
      <c r="F30" s="744"/>
      <c r="G30" s="17"/>
      <c r="H30" s="200">
        <f t="shared" ref="H30:O30" si="3">SUM(H15:H29)</f>
        <v>0</v>
      </c>
      <c r="I30" s="200">
        <f t="shared" si="3"/>
        <v>0</v>
      </c>
      <c r="J30" s="200">
        <f t="shared" si="3"/>
        <v>0</v>
      </c>
      <c r="K30" s="141">
        <f t="shared" ca="1" si="3"/>
        <v>0</v>
      </c>
      <c r="L30" s="141">
        <f t="shared" ca="1" si="3"/>
        <v>0</v>
      </c>
      <c r="M30" s="234">
        <f t="shared" si="3"/>
        <v>0</v>
      </c>
      <c r="N30" s="142">
        <f t="shared" ca="1" si="3"/>
        <v>0</v>
      </c>
      <c r="O30" s="141">
        <f t="shared" ca="1" si="3"/>
        <v>0</v>
      </c>
      <c r="P30" s="59"/>
      <c r="Q30" s="327"/>
      <c r="R30" s="117" t="s">
        <v>219</v>
      </c>
    </row>
    <row r="31" spans="1:18" s="2" customFormat="1" ht="14.25" customHeight="1">
      <c r="A31" s="185" t="s">
        <v>204</v>
      </c>
      <c r="B31" s="180"/>
      <c r="C31" s="180"/>
      <c r="D31" s="182"/>
      <c r="E31" s="182"/>
      <c r="F31" s="182"/>
      <c r="G31" s="18"/>
      <c r="H31" s="15"/>
      <c r="I31" s="16"/>
      <c r="J31" s="16"/>
      <c r="K31" s="57"/>
      <c r="L31" s="57"/>
      <c r="M31" s="358"/>
      <c r="N31" s="26"/>
      <c r="O31" s="27"/>
      <c r="P31" s="195" t="s">
        <v>109</v>
      </c>
      <c r="Q31" s="328"/>
      <c r="R31" s="117" t="s">
        <v>219</v>
      </c>
    </row>
    <row r="32" spans="1:18" s="2" customFormat="1" ht="14.25" customHeight="1">
      <c r="A32" s="185" t="s">
        <v>3</v>
      </c>
      <c r="B32" s="381">
        <f>IF($A$5&lt;=$K$5,'BP4'!B32,0)</f>
        <v>0</v>
      </c>
      <c r="C32" s="180" t="s">
        <v>457</v>
      </c>
      <c r="D32" s="182" t="str">
        <f>"Postdoctoral Associate"&amp;IF(B32&gt;0,"s",)</f>
        <v>Postdoctoral Associate</v>
      </c>
      <c r="E32" s="182"/>
      <c r="F32" s="182"/>
      <c r="G32" s="436">
        <v>12</v>
      </c>
      <c r="H32" s="198">
        <f>IF($A$5&lt;=$K$5,(IF('BP4'!H32&lt;&gt;'BP4'!B32*12,'BP4'!H32,B32*12)),0)</f>
        <v>0</v>
      </c>
      <c r="I32" s="199"/>
      <c r="J32" s="199"/>
      <c r="K32" s="140">
        <f t="shared" ref="K32:K40" ca="1" si="4">IFERROR(P32/12*H32,)</f>
        <v>0</v>
      </c>
      <c r="L32" s="141">
        <f>IF($A$5&lt;=$K$5,K32*LOOKUP($K$8,Lists!$A$2:$A$812,IF('BP1'!$K$2="Non-Federal",Lists!$D$2:$D$812,Lists!$C$2:$C$812)),0)</f>
        <v>0</v>
      </c>
      <c r="M32" s="234">
        <f>IF(B32&gt;0,'BP4'!M32,)</f>
        <v>0</v>
      </c>
      <c r="N32" s="140">
        <f ca="1">IFERROR(P32/12*M32,)</f>
        <v>0</v>
      </c>
      <c r="O32" s="141">
        <f ca="1">N32*LOOKUP($K$8,Lists!$A$2:$A$812,IF($K$2="Non-Federal",Lists!$D$2:$D$812,Lists!$C$2:$C$812))</f>
        <v>0</v>
      </c>
      <c r="P32" s="205">
        <f ca="1">IF($A$5&lt;=$K$5,INDIRECT("BP"&amp;$A$5-1&amp;"!P32")*(1+$K$7),0)</f>
        <v>0</v>
      </c>
      <c r="Q32" s="326"/>
      <c r="R32" s="117" t="s">
        <v>219</v>
      </c>
    </row>
    <row r="33" spans="1:18" s="2" customFormat="1" ht="14.25" customHeight="1">
      <c r="A33" s="185" t="s">
        <v>488</v>
      </c>
      <c r="B33" s="381">
        <f>IF($A$5&lt;=$K$5,'BP4'!B33,0)</f>
        <v>0</v>
      </c>
      <c r="C33" s="180" t="s">
        <v>457</v>
      </c>
      <c r="D33" s="182" t="str">
        <f>'BP1'!D33</f>
        <v>Other Professional</v>
      </c>
      <c r="E33" s="182"/>
      <c r="F33" s="182"/>
      <c r="G33" s="436">
        <v>12</v>
      </c>
      <c r="H33" s="198">
        <f>IF($A$5&lt;=$K$5,(IF('BP4'!H33&lt;&gt;'BP4'!B33*12,'BP4'!H33,B33*12)),0)</f>
        <v>0</v>
      </c>
      <c r="I33" s="199"/>
      <c r="J33" s="199"/>
      <c r="K33" s="140">
        <f t="shared" ca="1" si="4"/>
        <v>0</v>
      </c>
      <c r="L33" s="141">
        <f>IF($A$5&lt;=$K$5,K33*LOOKUP($K$8,Lists!$A$2:$A$812,IF('BP1'!$K$2="Non-Federal",Lists!$D$2:$D$812,Lists!$C$2:$C$812)),0)</f>
        <v>0</v>
      </c>
      <c r="M33" s="234">
        <f>IF(B33&gt;0,'BP4'!M33,)</f>
        <v>0</v>
      </c>
      <c r="N33" s="140">
        <f t="shared" ref="N33:N40" ca="1" si="5">IFERROR(P33/12*M33,)</f>
        <v>0</v>
      </c>
      <c r="O33" s="141">
        <f ca="1">N33*LOOKUP($K$8,Lists!$A$2:$A$812,IF($K$2="Non-Federal",Lists!$D$2:$D$812,Lists!$C$2:$C$812))</f>
        <v>0</v>
      </c>
      <c r="P33" s="205">
        <f ca="1">IF($A$5&lt;=$K$5,INDIRECT("BP"&amp;$A$5-1&amp;"!P33")*(1+$K$7),0)</f>
        <v>0</v>
      </c>
      <c r="Q33" s="326"/>
      <c r="R33" s="117" t="s">
        <v>219</v>
      </c>
    </row>
    <row r="34" spans="1:18" s="2" customFormat="1" ht="14.25" hidden="1" customHeight="1">
      <c r="A34" s="185" t="s">
        <v>489</v>
      </c>
      <c r="B34" s="381">
        <f>IF($A$5&lt;=$K$5,'BP4'!B34,0)</f>
        <v>0</v>
      </c>
      <c r="C34" s="180" t="s">
        <v>457</v>
      </c>
      <c r="D34" s="182" t="str">
        <f>'BP1'!D34</f>
        <v>Other Professional</v>
      </c>
      <c r="E34" s="182"/>
      <c r="F34" s="182"/>
      <c r="G34" s="436">
        <v>12</v>
      </c>
      <c r="H34" s="198">
        <f>IF($A$5&lt;=$K$5,(IF('BP4'!H34&lt;&gt;'BP4'!B34*12,'BP4'!H34,B34*12)),0)</f>
        <v>0</v>
      </c>
      <c r="I34" s="199"/>
      <c r="J34" s="199"/>
      <c r="K34" s="140">
        <f t="shared" ca="1" si="4"/>
        <v>0</v>
      </c>
      <c r="L34" s="141">
        <f>IF($A$5&lt;=$K$5,K34*LOOKUP($K$8,Lists!$A$2:$A$812,IF('BP1'!$K$2="Non-Federal",Lists!$D$2:$D$812,Lists!$C$2:$C$812)),0)</f>
        <v>0</v>
      </c>
      <c r="M34" s="234">
        <f>IF(B34&gt;0,'BP4'!M34,)</f>
        <v>0</v>
      </c>
      <c r="N34" s="140">
        <f t="shared" ca="1" si="5"/>
        <v>0</v>
      </c>
      <c r="O34" s="141">
        <f ca="1">N34*LOOKUP($K$8,Lists!$A$2:$A$812,IF($K$2="Non-Federal",Lists!$D$2:$D$812,Lists!$C$2:$C$812))</f>
        <v>0</v>
      </c>
      <c r="P34" s="205">
        <f ca="1">IF($A$5&lt;=$K$5,INDIRECT("BP"&amp;$A$5-1&amp;"!P34")*(1+$K$7),0)</f>
        <v>0</v>
      </c>
      <c r="Q34" s="326"/>
      <c r="R34" s="117" t="s">
        <v>493</v>
      </c>
    </row>
    <row r="35" spans="1:18" s="2" customFormat="1" ht="14.25" hidden="1" customHeight="1">
      <c r="A35" s="185" t="s">
        <v>490</v>
      </c>
      <c r="B35" s="381">
        <f>IF($A$5&lt;=$K$5,'BP4'!B35,0)</f>
        <v>0</v>
      </c>
      <c r="C35" s="180" t="s">
        <v>457</v>
      </c>
      <c r="D35" s="182" t="str">
        <f>'BP1'!D35</f>
        <v>Other Professional</v>
      </c>
      <c r="E35" s="182"/>
      <c r="F35" s="182"/>
      <c r="G35" s="436">
        <v>12</v>
      </c>
      <c r="H35" s="198">
        <f>IF($A$5&lt;=$K$5,(IF('BP4'!H35&lt;&gt;'BP4'!B35*12,'BP4'!H35,B35*12)),0)</f>
        <v>0</v>
      </c>
      <c r="I35" s="199"/>
      <c r="J35" s="199"/>
      <c r="K35" s="140">
        <f t="shared" ca="1" si="4"/>
        <v>0</v>
      </c>
      <c r="L35" s="141">
        <f>IF($A$5&lt;=$K$5,K35*LOOKUP($K$8,Lists!$A$2:$A$812,IF('BP1'!$K$2="Non-Federal",Lists!$D$2:$D$812,Lists!$C$2:$C$812)),0)</f>
        <v>0</v>
      </c>
      <c r="M35" s="234">
        <f>IF(B35&gt;0,'BP4'!M35,)</f>
        <v>0</v>
      </c>
      <c r="N35" s="140">
        <f t="shared" ca="1" si="5"/>
        <v>0</v>
      </c>
      <c r="O35" s="141">
        <f ca="1">N35*LOOKUP($K$8,Lists!$A$2:$A$812,IF($K$2="Non-Federal",Lists!$D$2:$D$812,Lists!$C$2:$C$812))</f>
        <v>0</v>
      </c>
      <c r="P35" s="205">
        <f ca="1">IF($A$5&lt;=$K$5,INDIRECT("BP"&amp;$A$5-1&amp;"!P35")*(1+$K$7),0)</f>
        <v>0</v>
      </c>
      <c r="Q35" s="326"/>
      <c r="R35" s="117" t="s">
        <v>493</v>
      </c>
    </row>
    <row r="36" spans="1:18" s="2" customFormat="1" ht="14.25" hidden="1" customHeight="1">
      <c r="A36" s="185" t="s">
        <v>491</v>
      </c>
      <c r="B36" s="381">
        <f>IF($A$5&lt;=$K$5,'BP4'!B36,0)</f>
        <v>0</v>
      </c>
      <c r="C36" s="180" t="s">
        <v>457</v>
      </c>
      <c r="D36" s="182" t="str">
        <f>'BP1'!D36</f>
        <v>Other Professional</v>
      </c>
      <c r="E36" s="182"/>
      <c r="F36" s="182"/>
      <c r="G36" s="436">
        <v>12</v>
      </c>
      <c r="H36" s="198">
        <f>IF($A$5&lt;=$K$5,(IF('BP4'!H36&lt;&gt;'BP4'!B36*12,'BP4'!H36,B36*12)),0)</f>
        <v>0</v>
      </c>
      <c r="I36" s="199"/>
      <c r="J36" s="199"/>
      <c r="K36" s="140">
        <f t="shared" ca="1" si="4"/>
        <v>0</v>
      </c>
      <c r="L36" s="141">
        <f>IF($A$5&lt;=$K$5,K36*LOOKUP($K$8,Lists!$A$2:$A$812,IF('BP1'!$K$2="Non-Federal",Lists!$D$2:$D$812,Lists!$C$2:$C$812)),0)</f>
        <v>0</v>
      </c>
      <c r="M36" s="234">
        <f>IF(B36&gt;0,'BP4'!M36,)</f>
        <v>0</v>
      </c>
      <c r="N36" s="140">
        <f t="shared" ca="1" si="5"/>
        <v>0</v>
      </c>
      <c r="O36" s="141">
        <f ca="1">N36*LOOKUP($K$8,Lists!$A$2:$A$812,IF($K$2="Non-Federal",Lists!$D$2:$D$812,Lists!$C$2:$C$812))</f>
        <v>0</v>
      </c>
      <c r="P36" s="205">
        <f ca="1">IF($A$5&lt;=$K$5,INDIRECT("BP"&amp;$A$5-1&amp;"!P36")*(1+$K$7),0)</f>
        <v>0</v>
      </c>
      <c r="Q36" s="326"/>
      <c r="R36" s="117" t="s">
        <v>493</v>
      </c>
    </row>
    <row r="37" spans="1:18" s="2" customFormat="1" ht="14.25" hidden="1" customHeight="1">
      <c r="A37" s="185" t="s">
        <v>492</v>
      </c>
      <c r="B37" s="381">
        <f>IF($A$5&lt;=$K$5,'BP4'!B37,0)</f>
        <v>0</v>
      </c>
      <c r="C37" s="180" t="s">
        <v>457</v>
      </c>
      <c r="D37" s="182" t="str">
        <f>'BP1'!D37</f>
        <v>Other Professional</v>
      </c>
      <c r="E37" s="182"/>
      <c r="F37" s="182"/>
      <c r="G37" s="436">
        <v>12</v>
      </c>
      <c r="H37" s="198">
        <f>IF($A$5&lt;=$K$5,(IF('BP4'!H37&lt;&gt;'BP4'!B37*12,'BP4'!H37,B37*12)),0)</f>
        <v>0</v>
      </c>
      <c r="I37" s="199"/>
      <c r="J37" s="199"/>
      <c r="K37" s="140">
        <f t="shared" ca="1" si="4"/>
        <v>0</v>
      </c>
      <c r="L37" s="141">
        <f>IF($A$5&lt;=$K$5,K37*LOOKUP($K$8,Lists!$A$2:$A$812,IF('BP1'!$K$2="Non-Federal",Lists!$D$2:$D$812,Lists!$C$2:$C$812)),0)</f>
        <v>0</v>
      </c>
      <c r="M37" s="234">
        <f>IF(B37&gt;0,'BP4'!M37,)</f>
        <v>0</v>
      </c>
      <c r="N37" s="140">
        <f t="shared" ca="1" si="5"/>
        <v>0</v>
      </c>
      <c r="O37" s="141">
        <f ca="1">N37*LOOKUP($K$8,Lists!$A$2:$A$812,IF($K$2="Non-Federal",Lists!$D$2:$D$812,Lists!$C$2:$C$812))</f>
        <v>0</v>
      </c>
      <c r="P37" s="205">
        <f ca="1">IF($A$5&lt;=$K$5,INDIRECT("BP"&amp;$A$5-1&amp;"!P37")*(1+$K$7),0)</f>
        <v>0</v>
      </c>
      <c r="Q37" s="326"/>
      <c r="R37" s="117" t="s">
        <v>493</v>
      </c>
    </row>
    <row r="38" spans="1:18" s="2" customFormat="1" ht="14.25" customHeight="1">
      <c r="A38" s="185" t="s">
        <v>4</v>
      </c>
      <c r="B38" s="381">
        <f>IF($A$5&lt;=$K$5,'BP4'!B38,0)</f>
        <v>0</v>
      </c>
      <c r="C38" s="180" t="s">
        <v>457</v>
      </c>
      <c r="D38" s="182" t="str">
        <f>"Graduate Student"&amp;IF(B38&gt;0,"s",)</f>
        <v>Graduate Student</v>
      </c>
      <c r="E38" s="182"/>
      <c r="F38" s="182"/>
      <c r="G38" s="436">
        <v>12</v>
      </c>
      <c r="H38" s="198">
        <f>IF($A$5&lt;=$K$5,(IF('BP4'!H38&lt;&gt;'BP4'!B38*12,'BP4'!H38,B38*12)),0)</f>
        <v>0</v>
      </c>
      <c r="I38" s="199"/>
      <c r="J38" s="199"/>
      <c r="K38" s="140">
        <f t="shared" ca="1" si="4"/>
        <v>0</v>
      </c>
      <c r="L38" s="141">
        <f>IF($A$5&lt;=$K$5,K38*LOOKUP($K$8,Lists!$A$2:$A$812,Lists!$F$2:$F$812),0)</f>
        <v>0</v>
      </c>
      <c r="M38" s="234">
        <f>IF(B38&gt;0,'BP4'!M38,)</f>
        <v>0</v>
      </c>
      <c r="N38" s="140">
        <f t="shared" ca="1" si="5"/>
        <v>0</v>
      </c>
      <c r="O38" s="141">
        <f ca="1">N38*LOOKUP($K$8,Lists!$A$2:$A$812,Lists!$F$2:$F$812)</f>
        <v>0</v>
      </c>
      <c r="P38" s="205">
        <f ca="1">IF($A$5&lt;=$K$5,INDIRECT("BP"&amp;$A$5-1&amp;"!P38")*(1+$K$7),0)</f>
        <v>0</v>
      </c>
      <c r="Q38" s="326"/>
      <c r="R38" s="117" t="s">
        <v>219</v>
      </c>
    </row>
    <row r="39" spans="1:18" s="2" customFormat="1" ht="14.25" customHeight="1">
      <c r="A39" s="185" t="s">
        <v>5</v>
      </c>
      <c r="B39" s="381">
        <f>IF($A$5&lt;=$K$5,'BP4'!B39,0)</f>
        <v>0</v>
      </c>
      <c r="C39" s="180" t="s">
        <v>457</v>
      </c>
      <c r="D39" s="182" t="str">
        <f>"Undergraduate Student"&amp;IF(B39&gt;0,"s",)</f>
        <v>Undergraduate Student</v>
      </c>
      <c r="E39" s="182"/>
      <c r="F39" s="182"/>
      <c r="G39" s="436">
        <v>12</v>
      </c>
      <c r="H39" s="198">
        <f>IF($A$5&lt;=$K$5,(IF('BP4'!H39&lt;&gt;'BP4'!B39*12,'BP4'!H39,B39*12)),0)</f>
        <v>0</v>
      </c>
      <c r="I39" s="199"/>
      <c r="J39" s="199"/>
      <c r="K39" s="140">
        <f t="shared" ca="1" si="4"/>
        <v>0</v>
      </c>
      <c r="L39" s="199"/>
      <c r="M39" s="234">
        <f>IF(B39&gt;0,'BP4'!M39,)</f>
        <v>0</v>
      </c>
      <c r="N39" s="140">
        <f ca="1">IFERROR(P39/12*M39,)</f>
        <v>0</v>
      </c>
      <c r="O39" s="199"/>
      <c r="P39" s="205">
        <f ca="1">IF($A$5&lt;=$K$5,INDIRECT("BP"&amp;$A$5-1&amp;"!P39")*(1+$K$7),0)</f>
        <v>0</v>
      </c>
      <c r="Q39" s="326"/>
      <c r="R39" s="117" t="s">
        <v>219</v>
      </c>
    </row>
    <row r="40" spans="1:18" s="2" customFormat="1" ht="14.25" customHeight="1" thickBot="1">
      <c r="A40" s="185" t="s">
        <v>6</v>
      </c>
      <c r="B40" s="381">
        <f>IF($A$5&lt;=$K$5,'BP4'!B40,0)</f>
        <v>0</v>
      </c>
      <c r="C40" s="180" t="s">
        <v>457</v>
      </c>
      <c r="D40" s="182" t="str">
        <f>"Other"&amp;IF(B40&gt;0,"s",)&amp;" (Carrying Statutory Benefits)"</f>
        <v>Other (Carrying Statutory Benefits)</v>
      </c>
      <c r="E40" s="182"/>
      <c r="F40" s="182"/>
      <c r="G40" s="436">
        <v>12</v>
      </c>
      <c r="H40" s="198">
        <f>IF($A$5&lt;=$K$5,(IF('BP4'!H40&lt;&gt;'BP4'!B40*12,'BP4'!H40,B40*12)),0)</f>
        <v>0</v>
      </c>
      <c r="I40" s="199"/>
      <c r="J40" s="199"/>
      <c r="K40" s="140">
        <f t="shared" ca="1" si="4"/>
        <v>0</v>
      </c>
      <c r="L40" s="141">
        <f>IF($A$5&lt;=$K$5,K40*LOOKUP($K$8,Lists!$A$2:$A$812,Lists!$E$2:$E$812),0)</f>
        <v>0</v>
      </c>
      <c r="M40" s="234">
        <f>IF(B40&gt;0,'BP4'!M40,)</f>
        <v>0</v>
      </c>
      <c r="N40" s="140">
        <f t="shared" ca="1" si="5"/>
        <v>0</v>
      </c>
      <c r="O40" s="141">
        <f ca="1">N40*LOOKUP($K$8,Lists!$A$2:$A$812,Lists!$E$2:$E$812)</f>
        <v>0</v>
      </c>
      <c r="P40" s="205">
        <f ca="1">IF($A$5&lt;=$K$5,INDIRECT("BP"&amp;$A$5-1&amp;"!P40")*(1+$K$7),0)</f>
        <v>0</v>
      </c>
      <c r="Q40" s="326"/>
      <c r="R40" s="117" t="s">
        <v>219</v>
      </c>
    </row>
    <row r="41" spans="1:18" s="2" customFormat="1" ht="14.25" customHeight="1" thickBot="1">
      <c r="A41" s="163"/>
      <c r="B41" s="180" t="s">
        <v>90</v>
      </c>
      <c r="C41" s="164"/>
      <c r="D41" s="158"/>
      <c r="E41" s="158"/>
      <c r="F41" s="158"/>
      <c r="G41" s="158"/>
      <c r="H41" s="165"/>
      <c r="I41" s="166"/>
      <c r="J41" s="164"/>
      <c r="K41" s="752">
        <f>IF($A$5&lt;=$K$5,SUM(K30:K40),0)</f>
        <v>0</v>
      </c>
      <c r="L41" s="753"/>
      <c r="M41" s="231"/>
      <c r="N41" s="767">
        <f ca="1">SUM(N30:N40)</f>
        <v>0</v>
      </c>
      <c r="O41" s="772"/>
      <c r="R41" s="117" t="s">
        <v>219</v>
      </c>
    </row>
    <row r="42" spans="1:18" s="2" customFormat="1" ht="14.25" customHeight="1" thickBot="1">
      <c r="A42" s="185" t="s">
        <v>91</v>
      </c>
      <c r="B42" s="164"/>
      <c r="C42" s="164"/>
      <c r="D42" s="156"/>
      <c r="E42" s="156"/>
      <c r="F42" s="167"/>
      <c r="G42" s="168"/>
      <c r="H42" s="169"/>
      <c r="I42" s="166"/>
      <c r="J42" s="164"/>
      <c r="K42" s="752">
        <f>IF($A$5&lt;=$K$5,SUM(L30:L40),0)</f>
        <v>0</v>
      </c>
      <c r="L42" s="753"/>
      <c r="M42" s="231"/>
      <c r="N42" s="767">
        <f ca="1">SUM(O30:O40)</f>
        <v>0</v>
      </c>
      <c r="O42" s="772"/>
      <c r="R42" s="117" t="s">
        <v>219</v>
      </c>
    </row>
    <row r="43" spans="1:18" s="2" customFormat="1" ht="14.25" customHeight="1" thickBot="1">
      <c r="A43" s="148"/>
      <c r="B43" s="186" t="s">
        <v>206</v>
      </c>
      <c r="C43" s="149"/>
      <c r="D43" s="150"/>
      <c r="E43" s="150"/>
      <c r="F43" s="150"/>
      <c r="G43" s="150"/>
      <c r="H43" s="149"/>
      <c r="I43" s="149"/>
      <c r="J43" s="149"/>
      <c r="K43" s="752">
        <f>IF($A$5&lt;=$K$5,SUM(K41:K42),0)</f>
        <v>0</v>
      </c>
      <c r="L43" s="753"/>
      <c r="M43" s="231"/>
      <c r="N43" s="767">
        <f ca="1">SUM(N41:N42)</f>
        <v>0</v>
      </c>
      <c r="O43" s="772"/>
      <c r="R43" s="117" t="s">
        <v>219</v>
      </c>
    </row>
    <row r="44" spans="1:18" s="2" customFormat="1" ht="14.25" customHeight="1" thickBot="1">
      <c r="A44" s="183" t="s">
        <v>207</v>
      </c>
      <c r="B44" s="144"/>
      <c r="C44" s="144"/>
      <c r="D44" s="145"/>
      <c r="E44" s="145"/>
      <c r="F44" s="145"/>
      <c r="G44" s="145"/>
      <c r="H44" s="144"/>
      <c r="I44" s="159"/>
      <c r="J44" s="144"/>
      <c r="K44" s="51"/>
      <c r="L44" s="52"/>
      <c r="M44" s="231"/>
      <c r="N44" s="28"/>
      <c r="O44" s="29"/>
      <c r="R44" s="117" t="s">
        <v>219</v>
      </c>
    </row>
    <row r="45" spans="1:18" s="2" customFormat="1" ht="14.25" customHeight="1" thickBot="1">
      <c r="A45" s="162"/>
      <c r="B45" s="833"/>
      <c r="C45" s="834"/>
      <c r="D45" s="834"/>
      <c r="E45" s="834"/>
      <c r="F45" s="835"/>
      <c r="G45" s="160"/>
      <c r="H45" s="160"/>
      <c r="I45" s="187" t="s">
        <v>160</v>
      </c>
      <c r="J45" s="161"/>
      <c r="K45" s="861"/>
      <c r="L45" s="862"/>
      <c r="M45" s="231"/>
      <c r="N45" s="676"/>
      <c r="O45" s="677"/>
      <c r="R45" s="117" t="s">
        <v>219</v>
      </c>
    </row>
    <row r="46" spans="1:18" s="2" customFormat="1" ht="14.25" hidden="1" customHeight="1" thickBot="1">
      <c r="A46" s="162"/>
      <c r="B46" s="833"/>
      <c r="C46" s="834"/>
      <c r="D46" s="834"/>
      <c r="E46" s="834"/>
      <c r="F46" s="835"/>
      <c r="G46" s="160"/>
      <c r="H46" s="160"/>
      <c r="I46" s="187" t="s">
        <v>161</v>
      </c>
      <c r="J46" s="161"/>
      <c r="K46" s="861"/>
      <c r="L46" s="862"/>
      <c r="M46" s="231"/>
      <c r="N46" s="676"/>
      <c r="O46" s="677"/>
      <c r="R46" s="117" t="s">
        <v>487</v>
      </c>
    </row>
    <row r="47" spans="1:18" s="2" customFormat="1" ht="14.25" hidden="1" customHeight="1" thickBot="1">
      <c r="A47" s="162"/>
      <c r="B47" s="833"/>
      <c r="C47" s="834"/>
      <c r="D47" s="834"/>
      <c r="E47" s="834"/>
      <c r="F47" s="835"/>
      <c r="G47" s="160"/>
      <c r="H47" s="160"/>
      <c r="I47" s="187" t="s">
        <v>162</v>
      </c>
      <c r="J47" s="161"/>
      <c r="K47" s="861"/>
      <c r="L47" s="862"/>
      <c r="M47" s="231"/>
      <c r="N47" s="676"/>
      <c r="O47" s="677"/>
      <c r="R47" s="117" t="s">
        <v>487</v>
      </c>
    </row>
    <row r="48" spans="1:18" s="2" customFormat="1" ht="14.25" hidden="1" customHeight="1" thickBot="1">
      <c r="A48" s="162"/>
      <c r="B48" s="833"/>
      <c r="C48" s="834"/>
      <c r="D48" s="834"/>
      <c r="E48" s="834"/>
      <c r="F48" s="835"/>
      <c r="G48" s="160"/>
      <c r="H48" s="160"/>
      <c r="I48" s="187" t="s">
        <v>163</v>
      </c>
      <c r="J48" s="161"/>
      <c r="K48" s="861"/>
      <c r="L48" s="862"/>
      <c r="M48" s="231"/>
      <c r="N48" s="676"/>
      <c r="O48" s="677"/>
      <c r="R48" s="117" t="s">
        <v>487</v>
      </c>
    </row>
    <row r="49" spans="1:18" s="2" customFormat="1" ht="14.25" hidden="1" customHeight="1" thickBot="1">
      <c r="A49" s="162"/>
      <c r="B49" s="833"/>
      <c r="C49" s="834"/>
      <c r="D49" s="834"/>
      <c r="E49" s="834"/>
      <c r="F49" s="835"/>
      <c r="G49" s="160"/>
      <c r="H49" s="160"/>
      <c r="I49" s="187" t="s">
        <v>164</v>
      </c>
      <c r="J49" s="161"/>
      <c r="K49" s="861"/>
      <c r="L49" s="862"/>
      <c r="M49" s="231"/>
      <c r="N49" s="676"/>
      <c r="O49" s="677"/>
      <c r="R49" s="117" t="s">
        <v>487</v>
      </c>
    </row>
    <row r="50" spans="1:18" s="2" customFormat="1" ht="14.25" customHeight="1" thickBot="1">
      <c r="A50" s="154"/>
      <c r="B50" s="178" t="s">
        <v>208</v>
      </c>
      <c r="C50" s="155"/>
      <c r="D50" s="147"/>
      <c r="E50" s="147"/>
      <c r="F50" s="147"/>
      <c r="G50" s="147"/>
      <c r="H50" s="147"/>
      <c r="I50" s="147"/>
      <c r="J50" s="147"/>
      <c r="K50" s="762">
        <f>SUM(K45:K49)</f>
        <v>0</v>
      </c>
      <c r="L50" s="753"/>
      <c r="M50" s="231"/>
      <c r="N50" s="798">
        <f>SUM(N45:N49)</f>
        <v>0</v>
      </c>
      <c r="O50" s="799"/>
      <c r="R50" s="117" t="s">
        <v>219</v>
      </c>
    </row>
    <row r="51" spans="1:18" s="2" customFormat="1" ht="14.25" customHeight="1">
      <c r="A51" s="188" t="s">
        <v>209</v>
      </c>
      <c r="B51" s="186"/>
      <c r="C51" s="186"/>
      <c r="D51" s="189"/>
      <c r="E51" s="189"/>
      <c r="F51" s="190"/>
      <c r="G51" s="368" t="s">
        <v>458</v>
      </c>
      <c r="H51" s="758" t="s">
        <v>92</v>
      </c>
      <c r="I51" s="759"/>
      <c r="J51" s="759"/>
      <c r="K51" s="754">
        <f>IF($A$5&lt;=$K$5,(IF(SUM('Travel Calculator'!$L$14:$M$14)&gt;0,('Travel Calculator'!$L$13*(1-'Travel Calculator'!$N$4)),'BP4'!$K$51)),)</f>
        <v>0</v>
      </c>
      <c r="L51" s="755"/>
      <c r="M51" s="231"/>
      <c r="N51" s="754">
        <f>IF($A$5&lt;=$K$5,(IF(SUM('Travel Calculator'!$L$14:$M$14)&gt;0,('Travel Calculator'!$L$13*('Travel Calculator'!$N$4)),'BP4'!$N$51)),)</f>
        <v>0</v>
      </c>
      <c r="O51" s="755"/>
      <c r="R51" s="117" t="s">
        <v>219</v>
      </c>
    </row>
    <row r="52" spans="1:18" s="2" customFormat="1" ht="14.25" customHeight="1" thickBot="1">
      <c r="A52" s="188"/>
      <c r="B52" s="186"/>
      <c r="C52" s="186"/>
      <c r="D52" s="189"/>
      <c r="E52" s="189"/>
      <c r="F52" s="366"/>
      <c r="G52" s="368" t="s">
        <v>459</v>
      </c>
      <c r="H52" s="758" t="s">
        <v>93</v>
      </c>
      <c r="I52" s="759"/>
      <c r="J52" s="759"/>
      <c r="K52" s="764">
        <f>IF($A$5&lt;=$K$5,(IF(SUM('Travel Calculator'!$L$14:$M$14)&gt;0,('Travel Calculator'!$M$13*(1-'Travel Calculator'!$N$4)),'BP4'!$K$52)),)</f>
        <v>0</v>
      </c>
      <c r="L52" s="765"/>
      <c r="M52" s="231"/>
      <c r="N52" s="764">
        <f>IF($A$5&lt;=$K$5,(IF(SUM('Travel Calculator'!$L$14:$M$14)&gt;0,('Travel Calculator'!$M$13*('Travel Calculator'!$N$4)),'BP4'!$N$52)),)</f>
        <v>0</v>
      </c>
      <c r="O52" s="765"/>
      <c r="R52" s="117" t="s">
        <v>219</v>
      </c>
    </row>
    <row r="53" spans="1:18" s="2" customFormat="1" ht="14.25" customHeight="1" thickBot="1">
      <c r="A53" s="172"/>
      <c r="B53" s="178"/>
      <c r="C53" s="178"/>
      <c r="D53" s="192"/>
      <c r="E53" s="192"/>
      <c r="F53" s="192"/>
      <c r="G53" s="192"/>
      <c r="H53" s="760" t="s">
        <v>108</v>
      </c>
      <c r="I53" s="760"/>
      <c r="J53" s="761"/>
      <c r="K53" s="752">
        <f>IF($A$5&lt;=$K$5,K51+K52,0)</f>
        <v>0</v>
      </c>
      <c r="L53" s="753"/>
      <c r="M53" s="231"/>
      <c r="N53" s="767">
        <f>N51+N52</f>
        <v>0</v>
      </c>
      <c r="O53" s="772"/>
      <c r="R53" s="117" t="s">
        <v>219</v>
      </c>
    </row>
    <row r="54" spans="1:18" s="2" customFormat="1" ht="14.25" customHeight="1">
      <c r="A54" s="188" t="s">
        <v>210</v>
      </c>
      <c r="B54" s="186"/>
      <c r="C54" s="186"/>
      <c r="D54" s="189"/>
      <c r="E54" s="189"/>
      <c r="F54" s="189"/>
      <c r="G54" s="189"/>
      <c r="H54" s="186"/>
      <c r="I54" s="193"/>
      <c r="J54" s="186"/>
      <c r="K54" s="55"/>
      <c r="L54" s="56"/>
      <c r="M54" s="231"/>
      <c r="N54" s="30"/>
      <c r="O54" s="31"/>
      <c r="R54" s="117" t="s">
        <v>219</v>
      </c>
    </row>
    <row r="55" spans="1:18" s="2" customFormat="1" ht="14.25" customHeight="1">
      <c r="A55" s="188"/>
      <c r="B55" s="194">
        <v>1</v>
      </c>
      <c r="C55" s="680" t="str">
        <f>'BP1'!C55</f>
        <v>Materials and Supplies</v>
      </c>
      <c r="D55" s="680"/>
      <c r="E55" s="680"/>
      <c r="F55" s="680"/>
      <c r="G55" s="680"/>
      <c r="H55" s="680"/>
      <c r="I55" s="680"/>
      <c r="J55" s="758"/>
      <c r="K55" s="861">
        <f>IF($A$5&lt;=$K$5,'BP4'!K55,0)</f>
        <v>0</v>
      </c>
      <c r="L55" s="862"/>
      <c r="M55" s="231"/>
      <c r="N55" s="676">
        <f>IF($A$5&lt;='BP1'!$K$5,'BP1'!N55,0)</f>
        <v>0</v>
      </c>
      <c r="O55" s="677"/>
      <c r="R55" s="117" t="s">
        <v>219</v>
      </c>
    </row>
    <row r="56" spans="1:18" s="2" customFormat="1" ht="14.25" customHeight="1">
      <c r="A56" s="188"/>
      <c r="B56" s="194">
        <v>2</v>
      </c>
      <c r="C56" s="680" t="str">
        <f>'BP1'!C56</f>
        <v>Publication Costs</v>
      </c>
      <c r="D56" s="680"/>
      <c r="E56" s="680"/>
      <c r="F56" s="680"/>
      <c r="G56" s="680"/>
      <c r="H56" s="680"/>
      <c r="I56" s="680"/>
      <c r="J56" s="758"/>
      <c r="K56" s="861">
        <f>IF($A$5&lt;=$K$5,'BP4'!K56,0)</f>
        <v>0</v>
      </c>
      <c r="L56" s="862"/>
      <c r="M56" s="231"/>
      <c r="N56" s="676">
        <f>IF($A$5&lt;='BP1'!$K$5,'BP1'!N56,0)</f>
        <v>0</v>
      </c>
      <c r="O56" s="677"/>
      <c r="R56" s="117" t="s">
        <v>219</v>
      </c>
    </row>
    <row r="57" spans="1:18" s="2" customFormat="1" ht="14.25" customHeight="1">
      <c r="A57" s="188"/>
      <c r="B57" s="194">
        <v>3</v>
      </c>
      <c r="C57" s="680" t="str">
        <f>'BP1'!C57</f>
        <v>Consultant Services</v>
      </c>
      <c r="D57" s="680"/>
      <c r="E57" s="680"/>
      <c r="F57" s="680"/>
      <c r="G57" s="680"/>
      <c r="H57" s="680"/>
      <c r="I57" s="680"/>
      <c r="J57" s="758"/>
      <c r="K57" s="861">
        <f>IF($A$5&lt;=$K$5,'BP4'!K57,0)</f>
        <v>0</v>
      </c>
      <c r="L57" s="862"/>
      <c r="M57" s="231"/>
      <c r="N57" s="676">
        <f>IF($A$5&lt;='BP1'!$K$5,'BP1'!N57,0)</f>
        <v>0</v>
      </c>
      <c r="O57" s="677"/>
      <c r="R57" s="117" t="s">
        <v>219</v>
      </c>
    </row>
    <row r="58" spans="1:18" s="2" customFormat="1" ht="14.25" customHeight="1">
      <c r="A58" s="188"/>
      <c r="B58" s="194">
        <v>4</v>
      </c>
      <c r="C58" s="680" t="str">
        <f>'BP1'!C58</f>
        <v>Computer Services</v>
      </c>
      <c r="D58" s="680"/>
      <c r="E58" s="680"/>
      <c r="F58" s="680"/>
      <c r="G58" s="680"/>
      <c r="H58" s="680"/>
      <c r="I58" s="680"/>
      <c r="J58" s="758"/>
      <c r="K58" s="861">
        <f>IF($A$5&lt;=$K$5,'BP4'!K58,0)</f>
        <v>0</v>
      </c>
      <c r="L58" s="862"/>
      <c r="M58" s="231"/>
      <c r="N58" s="676">
        <f>IF($A$5&lt;='BP1'!$K$5,'BP1'!N58,0)</f>
        <v>0</v>
      </c>
      <c r="O58" s="677"/>
      <c r="R58" s="117" t="s">
        <v>219</v>
      </c>
    </row>
    <row r="59" spans="1:18" s="2" customFormat="1" ht="14.25" customHeight="1">
      <c r="A59" s="188"/>
      <c r="B59" s="194">
        <v>5</v>
      </c>
      <c r="C59" s="680" t="s">
        <v>215</v>
      </c>
      <c r="D59" s="680"/>
      <c r="E59" s="680"/>
      <c r="F59" s="680"/>
      <c r="G59" s="680"/>
      <c r="H59" s="680"/>
      <c r="I59" s="680"/>
      <c r="J59" s="758"/>
      <c r="K59" s="863">
        <f>IF($A$5&lt;=$K$5,SUM((H38/12)*LOOKUP(K8,Lists!A2:A812,Lists!K2:K812)),0)</f>
        <v>0</v>
      </c>
      <c r="L59" s="863"/>
      <c r="M59" s="231"/>
      <c r="N59" s="817">
        <f>IF($A$5&lt;='BP1'!$K$5,SUM((M38/12)*LOOKUP(K8,Lists!A2:A812,Lists!K2:K812)),0)</f>
        <v>0</v>
      </c>
      <c r="O59" s="836"/>
      <c r="P59" s="5"/>
      <c r="Q59" s="5"/>
      <c r="R59" s="117" t="s">
        <v>219</v>
      </c>
    </row>
    <row r="60" spans="1:18" s="2" customFormat="1" ht="14.25" customHeight="1">
      <c r="A60" s="188"/>
      <c r="B60" s="194">
        <v>6</v>
      </c>
      <c r="C60" s="680" t="str">
        <f>'BP1'!C60</f>
        <v>MTDC Other</v>
      </c>
      <c r="D60" s="680"/>
      <c r="E60" s="680"/>
      <c r="F60" s="680"/>
      <c r="G60" s="680"/>
      <c r="H60" s="680"/>
      <c r="I60" s="680"/>
      <c r="J60" s="758"/>
      <c r="K60" s="819">
        <f>IF($A$5&lt;=$K$5,'BP4'!K60,0)</f>
        <v>0</v>
      </c>
      <c r="L60" s="819"/>
      <c r="M60" s="231"/>
      <c r="N60" s="676">
        <f>IF($A$5&lt;='BP1'!$K$5,'BP1'!N60,0)</f>
        <v>0</v>
      </c>
      <c r="O60" s="677"/>
      <c r="P60" s="5"/>
      <c r="Q60" s="5"/>
      <c r="R60" s="117" t="s">
        <v>219</v>
      </c>
    </row>
    <row r="61" spans="1:18" s="2" customFormat="1" ht="14.25" customHeight="1" thickBot="1">
      <c r="A61" s="188"/>
      <c r="B61" s="194">
        <v>7</v>
      </c>
      <c r="C61" s="680" t="str">
        <f>'BP1'!C61</f>
        <v>Non-MTDC Other (no indirect costs)</v>
      </c>
      <c r="D61" s="680"/>
      <c r="E61" s="680"/>
      <c r="F61" s="680"/>
      <c r="G61" s="680"/>
      <c r="H61" s="680"/>
      <c r="I61" s="680"/>
      <c r="J61" s="758"/>
      <c r="K61" s="861">
        <f>IF($A$5&lt;=$K$5,'BP4'!K61,0)</f>
        <v>0</v>
      </c>
      <c r="L61" s="862"/>
      <c r="M61" s="231"/>
      <c r="N61" s="676">
        <f>IF($A$5&lt;='BP1'!$K$5,'BP1'!N61,0)</f>
        <v>0</v>
      </c>
      <c r="O61" s="677"/>
      <c r="P61" s="195" t="s">
        <v>147</v>
      </c>
      <c r="Q61" s="328"/>
      <c r="R61" s="117" t="s">
        <v>219</v>
      </c>
    </row>
    <row r="62" spans="1:18" s="2" customFormat="1" ht="14.25" customHeight="1" thickBot="1">
      <c r="A62" s="148"/>
      <c r="B62" s="213">
        <v>8</v>
      </c>
      <c r="C62" s="680" t="s">
        <v>566</v>
      </c>
      <c r="D62" s="680"/>
      <c r="E62" s="678" t="s">
        <v>292</v>
      </c>
      <c r="F62" s="679"/>
      <c r="G62" s="667">
        <f>'Subaward Calculator'!B8</f>
        <v>0</v>
      </c>
      <c r="H62" s="668"/>
      <c r="I62" s="669"/>
      <c r="J62" s="256">
        <f>IF(('BP4'!K62+'BP3'!K62+'BP2'!K62+'BP1'!K62)&lt;25000,25000-('BP4'!K62+'BP3'!K62+'BP2'!K62+'BP1'!K62),0)</f>
        <v>25000</v>
      </c>
      <c r="K62" s="670">
        <f>IF(AND(SUM('BP4'!K62)&gt;0,'Subaward Calculator'!AD9=0,'BP1'!K5&gt;4),'BP4'!K62,'Subaward Calculator'!Y9)</f>
        <v>0</v>
      </c>
      <c r="L62" s="671"/>
      <c r="M62" s="231"/>
      <c r="N62" s="822">
        <f>IF(AND(SUM('BP4'!N62)&gt;0,'Subaward Calculator'!AF9=0,'BP1'!K5&gt;4),'BP4'!N62,'Subaward Calculator'!AA9)</f>
        <v>0</v>
      </c>
      <c r="O62" s="823"/>
      <c r="P62" s="486">
        <f>'Subaward Calculator'!B9</f>
        <v>0</v>
      </c>
      <c r="Q62" s="334"/>
      <c r="R62" s="117" t="s">
        <v>219</v>
      </c>
    </row>
    <row r="63" spans="1:18" s="2" customFormat="1" ht="14.25" hidden="1" customHeight="1" thickBot="1">
      <c r="A63" s="188"/>
      <c r="B63" s="213"/>
      <c r="C63" s="680" t="s">
        <v>567</v>
      </c>
      <c r="D63" s="680"/>
      <c r="E63" s="678" t="s">
        <v>292</v>
      </c>
      <c r="F63" s="679"/>
      <c r="G63" s="667">
        <f>'Subaward Calculator'!B11</f>
        <v>0</v>
      </c>
      <c r="H63" s="668"/>
      <c r="I63" s="669"/>
      <c r="J63" s="256">
        <f>IF(('BP4'!K63+'BP3'!K63+'BP2'!K63+'BP1'!K63)&lt;25000,25000-('BP4'!K63+'BP3'!K63+'BP2'!K63+'BP1'!K63),0)</f>
        <v>25000</v>
      </c>
      <c r="K63" s="670">
        <f>IF(AND(SUM('BP4'!K63)&gt;0,'Subaward Calculator'!AD12=0,'BP1'!K5&gt;4),'BP4'!K63,'Subaward Calculator'!Y12)</f>
        <v>0</v>
      </c>
      <c r="L63" s="671"/>
      <c r="M63" s="231"/>
      <c r="N63" s="822">
        <f>IF(AND(SUM('BP4'!N63)&gt;0,'Subaward Calculator'!AF12=0,'BP1'!K5&gt;4),'BP4'!N63,'Subaward Calculator'!AA12)</f>
        <v>0</v>
      </c>
      <c r="O63" s="823"/>
      <c r="P63" s="486">
        <f>'Subaward Calculator'!B12</f>
        <v>0</v>
      </c>
      <c r="Q63" s="334"/>
      <c r="R63" s="117" t="s">
        <v>222</v>
      </c>
    </row>
    <row r="64" spans="1:18" s="2" customFormat="1" ht="14.25" hidden="1" customHeight="1" thickBot="1">
      <c r="A64" s="148"/>
      <c r="B64" s="213"/>
      <c r="C64" s="680" t="s">
        <v>568</v>
      </c>
      <c r="D64" s="680"/>
      <c r="E64" s="678" t="s">
        <v>292</v>
      </c>
      <c r="F64" s="679"/>
      <c r="G64" s="667">
        <f>'Subaward Calculator'!B14</f>
        <v>0</v>
      </c>
      <c r="H64" s="668"/>
      <c r="I64" s="669"/>
      <c r="J64" s="256">
        <f>IF(('BP4'!K64+'BP3'!K64+'BP2'!K64+'BP1'!K64)&lt;25000,25000-('BP4'!K64+'BP3'!K64+'BP2'!K64+'BP1'!K64),0)</f>
        <v>25000</v>
      </c>
      <c r="K64" s="670">
        <f>IF(AND(SUM('BP4'!K64)&gt;0,'Subaward Calculator'!AD15=0,'BP1'!K5&gt;4),'BP4'!K64,'Subaward Calculator'!Y15)</f>
        <v>0</v>
      </c>
      <c r="L64" s="671"/>
      <c r="M64" s="231"/>
      <c r="N64" s="822">
        <f>IF(AND(SUM('BP4'!N64)&gt;0,'Subaward Calculator'!AF15=0,'BP1'!K5&gt;4),'BP4'!N64,'Subaward Calculator'!AA15)</f>
        <v>0</v>
      </c>
      <c r="O64" s="823"/>
      <c r="P64" s="486">
        <f>'Subaward Calculator'!B15</f>
        <v>0</v>
      </c>
      <c r="Q64" s="334"/>
      <c r="R64" s="117" t="s">
        <v>222</v>
      </c>
    </row>
    <row r="65" spans="1:18" s="2" customFormat="1" ht="14.25" hidden="1" customHeight="1" thickBot="1">
      <c r="A65" s="148"/>
      <c r="B65" s="213"/>
      <c r="C65" s="680" t="s">
        <v>569</v>
      </c>
      <c r="D65" s="680"/>
      <c r="E65" s="678" t="s">
        <v>292</v>
      </c>
      <c r="F65" s="679"/>
      <c r="G65" s="667">
        <f>'Subaward Calculator'!B17</f>
        <v>0</v>
      </c>
      <c r="H65" s="668"/>
      <c r="I65" s="669"/>
      <c r="J65" s="256">
        <f>IF(('BP4'!$K$65+'BP3'!$K$65+'BP2'!$K$65+'BP1'!$K$65)&lt;25000,25000-('BP4'!$K$65+'BP3'!$K$65+'BP2'!$K$65+'BP1'!$K$65),0)</f>
        <v>25000</v>
      </c>
      <c r="K65" s="670">
        <f>IF(AND(SUM('BP4'!K65)&gt;0,'Subaward Calculator'!AD18=0,'BP1'!K5&gt;4),'BP4'!K65,'Subaward Calculator'!Y18)</f>
        <v>0</v>
      </c>
      <c r="L65" s="671"/>
      <c r="M65" s="231"/>
      <c r="N65" s="822">
        <f>IF(AND(SUM('BP4'!N65)&gt;0,'Subaward Calculator'!AF18=0,'BP1'!K5&gt;4),'BP4'!N65,'Subaward Calculator'!AA18)</f>
        <v>0</v>
      </c>
      <c r="O65" s="823"/>
      <c r="P65" s="486">
        <f>'Subaward Calculator'!B18</f>
        <v>0</v>
      </c>
      <c r="Q65" s="334"/>
      <c r="R65" s="117" t="s">
        <v>222</v>
      </c>
    </row>
    <row r="66" spans="1:18" s="2" customFormat="1" ht="14.25" hidden="1" customHeight="1" thickBot="1">
      <c r="A66" s="148"/>
      <c r="B66" s="213"/>
      <c r="C66" s="680" t="s">
        <v>570</v>
      </c>
      <c r="D66" s="680"/>
      <c r="E66" s="678" t="s">
        <v>292</v>
      </c>
      <c r="F66" s="679"/>
      <c r="G66" s="667">
        <f>'Subaward Calculator'!B20</f>
        <v>0</v>
      </c>
      <c r="H66" s="668"/>
      <c r="I66" s="669"/>
      <c r="J66" s="256">
        <f>IF(('BP4'!$K$66+'BP3'!$K$66+'BP2'!$K$66+'BP1'!$K$66)&lt;25000,25000-('BP4'!$K$66+'BP3'!$K$66+'BP2'!$K$66+'BP1'!$K$66),0)</f>
        <v>25000</v>
      </c>
      <c r="K66" s="670">
        <f>IF(AND(SUM('BP4'!K66)&gt;0,'Subaward Calculator'!AD21=0,'BP1'!K5&gt;4),'BP4'!K66,'Subaward Calculator'!Y21)</f>
        <v>0</v>
      </c>
      <c r="L66" s="671"/>
      <c r="M66" s="231"/>
      <c r="N66" s="822">
        <f>IF(AND(SUM('BP4'!N66)&gt;0,'Subaward Calculator'!AF21=0,'BP1'!K5&gt;4),'BP4'!N66,'Subaward Calculator'!AA21)</f>
        <v>0</v>
      </c>
      <c r="O66" s="823"/>
      <c r="P66" s="486">
        <f>'Subaward Calculator'!B21</f>
        <v>0</v>
      </c>
      <c r="Q66" s="334"/>
      <c r="R66" s="117" t="s">
        <v>222</v>
      </c>
    </row>
    <row r="67" spans="1:18" s="2" customFormat="1" ht="14.25" hidden="1" customHeight="1" thickBot="1">
      <c r="A67" s="148"/>
      <c r="B67" s="213"/>
      <c r="C67" s="680" t="s">
        <v>571</v>
      </c>
      <c r="D67" s="680"/>
      <c r="E67" s="678" t="s">
        <v>292</v>
      </c>
      <c r="F67" s="679"/>
      <c r="G67" s="667">
        <f>'Subaward Calculator'!B23</f>
        <v>0</v>
      </c>
      <c r="H67" s="668"/>
      <c r="I67" s="669"/>
      <c r="J67" s="256">
        <f>IF(('BP4'!$K$67+'BP3'!$K$67+'BP2'!$K$67+'BP1'!$K$67)&lt;25000,25000-('BP4'!$K$67+'BP3'!$K$67+'BP2'!$K$67+'BP1'!$K$67),0)</f>
        <v>25000</v>
      </c>
      <c r="K67" s="670">
        <f>IF(AND(SUM('BP4'!K67)&gt;0,'Subaward Calculator'!AD24=0,'BP1'!K5&gt;4),'BP4'!K67,'Subaward Calculator'!Y24)</f>
        <v>0</v>
      </c>
      <c r="L67" s="671"/>
      <c r="M67" s="231"/>
      <c r="N67" s="822">
        <f>IF(AND(SUM('BP4'!N67)&gt;0,'Subaward Calculator'!AF24=0,'BP1'!K5&gt;4),'BP4'!N67,'Subaward Calculator'!AA24)</f>
        <v>0</v>
      </c>
      <c r="O67" s="823"/>
      <c r="P67" s="486">
        <f>'Subaward Calculator'!B24</f>
        <v>0</v>
      </c>
      <c r="Q67" s="334"/>
      <c r="R67" s="117" t="s">
        <v>222</v>
      </c>
    </row>
    <row r="68" spans="1:18" s="2" customFormat="1" ht="14.25" hidden="1" customHeight="1" thickBot="1">
      <c r="A68" s="148"/>
      <c r="B68" s="213"/>
      <c r="C68" s="680" t="s">
        <v>572</v>
      </c>
      <c r="D68" s="680"/>
      <c r="E68" s="678" t="s">
        <v>292</v>
      </c>
      <c r="F68" s="679"/>
      <c r="G68" s="667">
        <f>'Subaward Calculator'!B26</f>
        <v>0</v>
      </c>
      <c r="H68" s="668"/>
      <c r="I68" s="669"/>
      <c r="J68" s="256">
        <f>IF(('BP4'!$K$68+'BP3'!$K$68+'BP2'!$K$68+'BP1'!$K$68)&lt;25000,25000-('BP4'!$K$68+'BP3'!$K$68+'BP2'!$K$68+'BP1'!$K$68),0)</f>
        <v>25000</v>
      </c>
      <c r="K68" s="670">
        <f>IF(AND(SUM('BP4'!K68)&gt;0,'Subaward Calculator'!AD27=0,'BP1'!K5&gt;4),'BP4'!K68,'Subaward Calculator'!Y27)</f>
        <v>0</v>
      </c>
      <c r="L68" s="671"/>
      <c r="M68" s="231"/>
      <c r="N68" s="822">
        <f>IF(AND(SUM('BP4'!N68)&gt;0,'Subaward Calculator'!AF27=0,'BP1'!K5&gt;4),'BP4'!N68,'Subaward Calculator'!AA27)</f>
        <v>0</v>
      </c>
      <c r="O68" s="823"/>
      <c r="P68" s="486">
        <f>'Subaward Calculator'!B27</f>
        <v>0</v>
      </c>
      <c r="Q68" s="334"/>
      <c r="R68" s="117" t="s">
        <v>223</v>
      </c>
    </row>
    <row r="69" spans="1:18" s="2" customFormat="1" ht="14.25" hidden="1" customHeight="1" thickBot="1">
      <c r="A69" s="148"/>
      <c r="B69" s="213"/>
      <c r="C69" s="680" t="s">
        <v>573</v>
      </c>
      <c r="D69" s="680"/>
      <c r="E69" s="678" t="s">
        <v>292</v>
      </c>
      <c r="F69" s="679"/>
      <c r="G69" s="667">
        <f>'Subaward Calculator'!B29</f>
        <v>0</v>
      </c>
      <c r="H69" s="668"/>
      <c r="I69" s="669"/>
      <c r="J69" s="256">
        <f>IF(('BP4'!$K$69+'BP3'!$K$69+'BP2'!$K$69+'BP1'!$K$69)&lt;25000,25000-('BP4'!$K$69+'BP3'!$K$69+'BP2'!$K$69+'BP1'!$K$69),0)</f>
        <v>25000</v>
      </c>
      <c r="K69" s="670">
        <f>IF(AND(SUM('BP4'!K69)&gt;0,'Subaward Calculator'!AD30=0,'BP1'!K5&gt;4),'BP4'!K69,'Subaward Calculator'!Y30)</f>
        <v>0</v>
      </c>
      <c r="L69" s="671"/>
      <c r="M69" s="231"/>
      <c r="N69" s="822">
        <f>IF(AND(SUM('BP4'!N69)&gt;0,'Subaward Calculator'!AF30=0,'BP1'!K5&gt;4),'BP4'!N69,'Subaward Calculator'!AA30)</f>
        <v>0</v>
      </c>
      <c r="O69" s="823"/>
      <c r="P69" s="486">
        <f>'Subaward Calculator'!B30</f>
        <v>0</v>
      </c>
      <c r="Q69" s="334"/>
      <c r="R69" s="117" t="s">
        <v>223</v>
      </c>
    </row>
    <row r="70" spans="1:18" s="2" customFormat="1" ht="14.25" hidden="1" customHeight="1" thickBot="1">
      <c r="A70" s="148"/>
      <c r="B70" s="213"/>
      <c r="C70" s="680" t="s">
        <v>574</v>
      </c>
      <c r="D70" s="680"/>
      <c r="E70" s="678" t="s">
        <v>292</v>
      </c>
      <c r="F70" s="679"/>
      <c r="G70" s="667">
        <f>'Subaward Calculator'!B32</f>
        <v>0</v>
      </c>
      <c r="H70" s="668"/>
      <c r="I70" s="669"/>
      <c r="J70" s="256">
        <f>IF(('BP4'!$K$70+'BP3'!$K$70+'BP2'!$K$70+'BP1'!$K$70)&lt;25000,25000-('BP4'!$K$70+'BP3'!$K$70+'BP2'!$K$70+'BP1'!$K$70),0)</f>
        <v>25000</v>
      </c>
      <c r="K70" s="670">
        <f>IF(AND(SUM('BP4'!K70)&gt;0,'Subaward Calculator'!AD33=0,'BP1'!K5&gt;4),'BP4'!K70,'Subaward Calculator'!Y33)</f>
        <v>0</v>
      </c>
      <c r="L70" s="671"/>
      <c r="M70" s="231"/>
      <c r="N70" s="822">
        <f>IF(AND(SUM('BP4'!N70)&gt;0,'Subaward Calculator'!AF33=0,'BP1'!K5&gt;4),'BP4'!N70,'Subaward Calculator'!AA33)</f>
        <v>0</v>
      </c>
      <c r="O70" s="823"/>
      <c r="P70" s="486">
        <f>'Subaward Calculator'!B33</f>
        <v>0</v>
      </c>
      <c r="Q70" s="334"/>
      <c r="R70" s="117" t="s">
        <v>223</v>
      </c>
    </row>
    <row r="71" spans="1:18" s="2" customFormat="1" ht="14.25" hidden="1" customHeight="1" thickBot="1">
      <c r="A71" s="148"/>
      <c r="B71" s="213"/>
      <c r="C71" s="680" t="s">
        <v>575</v>
      </c>
      <c r="D71" s="680"/>
      <c r="E71" s="678" t="s">
        <v>292</v>
      </c>
      <c r="F71" s="679"/>
      <c r="G71" s="667">
        <f>'Subaward Calculator'!B35</f>
        <v>0</v>
      </c>
      <c r="H71" s="668"/>
      <c r="I71" s="669"/>
      <c r="J71" s="256">
        <f>IF(('BP4'!$K$71+'BP3'!$K$71+'BP2'!$K$71+'BP1'!$K$71)&lt;25000,25000-('BP4'!$K$71+'BP3'!$K$71+'BP2'!$K$71+'BP1'!$K$71),0)</f>
        <v>25000</v>
      </c>
      <c r="K71" s="670">
        <f>IF(AND(SUM('BP4'!K71)&gt;0,'Subaward Calculator'!AD36=0,'BP1'!K5&gt;4),'BP4'!K71,'Subaward Calculator'!Y36)</f>
        <v>0</v>
      </c>
      <c r="L71" s="671"/>
      <c r="M71" s="231"/>
      <c r="N71" s="822">
        <f>IF(AND(SUM('BP4'!N71)&gt;0,'Subaward Calculator'!AF36=0,'BP1'!K5&gt;4),'BP4'!N71,'Subaward Calculator'!AA36)</f>
        <v>0</v>
      </c>
      <c r="O71" s="823"/>
      <c r="P71" s="486">
        <f>'Subaward Calculator'!B36</f>
        <v>0</v>
      </c>
      <c r="Q71" s="334"/>
      <c r="R71" s="117" t="s">
        <v>223</v>
      </c>
    </row>
    <row r="72" spans="1:18" s="2" customFormat="1" ht="14.25" hidden="1" customHeight="1" thickBot="1">
      <c r="A72" s="148"/>
      <c r="B72" s="213"/>
      <c r="C72" s="680" t="s">
        <v>576</v>
      </c>
      <c r="D72" s="680"/>
      <c r="E72" s="678" t="s">
        <v>292</v>
      </c>
      <c r="F72" s="679"/>
      <c r="G72" s="667">
        <f>'Subaward Calculator'!B38</f>
        <v>0</v>
      </c>
      <c r="H72" s="668"/>
      <c r="I72" s="669"/>
      <c r="J72" s="256">
        <f>IF(('BP4'!$K$72+'BP3'!$K$72+'BP2'!$K$72+'BP1'!$K$72)&lt;25000,25000-('BP4'!$K$72+'BP3'!$K$72+'BP2'!$K$72+'BP1'!$K$72),0)</f>
        <v>25000</v>
      </c>
      <c r="K72" s="670">
        <f>IF(AND(SUM('BP4'!K72)&gt;0,'Subaward Calculator'!AD39=0,'BP1'!K5&gt;4),'BP4'!K72,'Subaward Calculator'!Y39)</f>
        <v>0</v>
      </c>
      <c r="L72" s="671"/>
      <c r="M72" s="231"/>
      <c r="N72" s="822">
        <f>IF(AND(SUM('BP4'!N72)&gt;0,'Subaward Calculator'!AF39=0,'BP1'!K5&gt;4),'BP4'!N72,'Subaward Calculator'!AA39)</f>
        <v>0</v>
      </c>
      <c r="O72" s="823"/>
      <c r="P72" s="486">
        <f>'Subaward Calculator'!B39</f>
        <v>0</v>
      </c>
      <c r="Q72" s="334"/>
      <c r="R72" s="117" t="s">
        <v>223</v>
      </c>
    </row>
    <row r="73" spans="1:18" s="2" customFormat="1" ht="14.25" hidden="1" customHeight="1" thickBot="1">
      <c r="A73" s="148"/>
      <c r="B73" s="213"/>
      <c r="C73" s="680" t="s">
        <v>577</v>
      </c>
      <c r="D73" s="680"/>
      <c r="E73" s="678" t="s">
        <v>292</v>
      </c>
      <c r="F73" s="679"/>
      <c r="G73" s="667">
        <f>'Subaward Calculator'!B41</f>
        <v>0</v>
      </c>
      <c r="H73" s="668"/>
      <c r="I73" s="669"/>
      <c r="J73" s="256">
        <f>IF(('BP4'!$K$73+'BP3'!$K$73+'BP2'!$K$73+'BP1'!$K$73)&lt;25000,25000-('BP4'!$K$73+'BP3'!$K$73+'BP2'!$K$73+'BP1'!$K$73),0)</f>
        <v>25000</v>
      </c>
      <c r="K73" s="670">
        <f>IF(AND(SUM('BP4'!K73)&gt;0,'Subaward Calculator'!AD42=0,'BP1'!K5&gt;4),'BP4'!K73,'Subaward Calculator'!Y42)</f>
        <v>0</v>
      </c>
      <c r="L73" s="671"/>
      <c r="M73" s="231"/>
      <c r="N73" s="822">
        <f>IF(AND(SUM('BP4'!N73)&gt;0,'Subaward Calculator'!AF42=0,'BP1'!K5&gt;4),'BP4'!N73,'Subaward Calculator'!AA42)</f>
        <v>0</v>
      </c>
      <c r="O73" s="823"/>
      <c r="P73" s="486">
        <f>'Subaward Calculator'!B42</f>
        <v>0</v>
      </c>
      <c r="Q73" s="334"/>
      <c r="R73" s="117" t="s">
        <v>223</v>
      </c>
    </row>
    <row r="74" spans="1:18" s="2" customFormat="1" ht="14.25" customHeight="1" thickBot="1">
      <c r="A74" s="188" t="s">
        <v>94</v>
      </c>
      <c r="B74" s="149"/>
      <c r="C74" s="149"/>
      <c r="D74" s="152"/>
      <c r="E74" s="153"/>
      <c r="F74" s="153"/>
      <c r="G74" s="153"/>
      <c r="H74" s="149"/>
      <c r="I74" s="151"/>
      <c r="J74" s="149"/>
      <c r="K74" s="752">
        <f>IF($A$5&lt;=$K$5,SUM(K55:$K$73),0)</f>
        <v>0</v>
      </c>
      <c r="L74" s="753"/>
      <c r="M74" s="231"/>
      <c r="N74" s="767">
        <f>SUM(N55:N73)</f>
        <v>0</v>
      </c>
      <c r="O74" s="772"/>
      <c r="R74" s="117" t="s">
        <v>219</v>
      </c>
    </row>
    <row r="75" spans="1:18" s="2" customFormat="1" ht="14.25" customHeight="1" thickBot="1">
      <c r="A75" s="188" t="s">
        <v>582</v>
      </c>
      <c r="B75" s="149"/>
      <c r="C75" s="149"/>
      <c r="D75" s="150"/>
      <c r="E75" s="150"/>
      <c r="F75" s="150"/>
      <c r="G75" s="150"/>
      <c r="H75" s="149"/>
      <c r="I75" s="151"/>
      <c r="J75" s="149"/>
      <c r="K75" s="752">
        <f>IF($A$5&lt;=$K$5,SUM(K43+K50+K53+$K$74),0)</f>
        <v>0</v>
      </c>
      <c r="L75" s="753"/>
      <c r="M75" s="231"/>
      <c r="N75" s="767">
        <f ca="1">SUM(N43+N50+N53+N74)</f>
        <v>0</v>
      </c>
      <c r="O75" s="772"/>
      <c r="R75" s="117" t="s">
        <v>219</v>
      </c>
    </row>
    <row r="76" spans="1:18" s="2" customFormat="1" ht="14.25" customHeight="1" thickBot="1">
      <c r="A76" s="188" t="str">
        <f>IF('Appendix C-Grants.gov Form Info'!J1&gt;0,IF(AND(SUM(K62:K73)&gt;0,'Subaward Calculator'!AD46=0),"","     Total NU Direct Costs and Subaward Direct Costs"),"")</f>
        <v/>
      </c>
      <c r="B76" s="149"/>
      <c r="C76" s="149"/>
      <c r="D76" s="150"/>
      <c r="E76" s="150"/>
      <c r="F76" s="150"/>
      <c r="G76" s="150"/>
      <c r="H76" s="149"/>
      <c r="I76" s="151"/>
      <c r="J76" s="149"/>
      <c r="K76" s="752" t="str">
        <f>IF('Appendix C-Grants.gov Form Info'!J1&gt;0,IF(AND(SUM(K62:K73)&gt;0,'Subaward Calculator'!AD46=0),"",IF($A$5&lt;=$K$5,SUM(K43+K50+K53+$K$74),0)-'Subaward Calculator'!Y46+'Subaward Calculator'!Y44),"")</f>
        <v/>
      </c>
      <c r="L76" s="753"/>
      <c r="M76" s="231"/>
      <c r="N76"/>
      <c r="O76" s="81"/>
      <c r="P76" s="1"/>
      <c r="Q76" s="1"/>
      <c r="R76" s="117" t="s">
        <v>219</v>
      </c>
    </row>
    <row r="77" spans="1:18" s="2" customFormat="1" ht="14.25" customHeight="1">
      <c r="A77" s="183"/>
      <c r="B77" s="191"/>
      <c r="C77" s="191"/>
      <c r="D77" s="191"/>
      <c r="E77" s="145"/>
      <c r="F77" s="372" t="str">
        <f>IF(OR($L$2="No F&amp;A",$L$2="Custom"),"","Current Fiscal Year Base Rate =")</f>
        <v>Current Fiscal Year Base Rate =</v>
      </c>
      <c r="G77" s="816">
        <f>IF($L$2="No F&amp;A",$L$2,IF($L$2="Custom","Enter Custom Rate:",(VLOOKUP((IF($K$8&gt;=DATE(YEAR($K$8),9,1),DATE(YEAR($K$8),9,1),DATE(YEAR($K$8)-1,9,1))),Lists!A:Q,(MATCH('BP1'!$K$2&amp;" "&amp;'BP1'!$L$2,Lists!$M$1:$Q$1,0)+12),1))))</f>
        <v>0.6</v>
      </c>
      <c r="H77" s="816"/>
      <c r="I77" s="756">
        <f ca="1">INDIRECT("BP"&amp;$A$5-1&amp;"!I77")</f>
        <v>0.1</v>
      </c>
      <c r="J77" s="757"/>
      <c r="K77" s="375"/>
      <c r="L77" s="54"/>
      <c r="M77" s="231"/>
      <c r="N77" s="241"/>
      <c r="O77" s="242"/>
      <c r="R77" s="117" t="s">
        <v>219</v>
      </c>
    </row>
    <row r="78" spans="1:18" s="2" customFormat="1" ht="14.25" customHeight="1" thickBot="1">
      <c r="A78" s="792" t="str">
        <f>IF(K3="MTDC","Modified Total Direct Costs (MTDC) Base =","Total Direct Costs (TDC) Base =")</f>
        <v>Modified Total Direct Costs (MTDC) Base =</v>
      </c>
      <c r="B78" s="793"/>
      <c r="C78" s="793"/>
      <c r="D78" s="793"/>
      <c r="E78" s="793"/>
      <c r="F78" s="793"/>
      <c r="G78" s="461">
        <f>IF(K3="MTDC",IF(A5&lt;=K5,K75-K50-K62-K63-K64-$K$65-$K$66-$K$67-$K$68-$K$69-$K$70-$K$71-$K$72-$K$73-K59-K61+IF(J62&lt;K62,J62,K62)+IF(J63&lt;K63,J63,K63)+IF(J64&lt;K64,J64,K64)+IF(J65&lt;$K$65,J65,$K$65)+IF(J66&lt;$K$66,J66,$K$66)+IF(J67&lt;$K$67,J67,$K$67)+IF(J68&lt;$K$68,J68,$K$68)+IF(J69&lt;$K$69,J69,$K$69)+IF(J70&lt;$K$70,J70,$K$70)+IF(J71&lt;$K$71,J71,$K$71)+IF(J72&lt;$K$72,J72,$K$72)+IF(J73&lt;$K$73,J73,$K$73),0),IF(A5&lt;=K5,K75,0))</f>
        <v>0</v>
      </c>
      <c r="H78" s="146"/>
      <c r="I78" s="146"/>
      <c r="J78" s="246"/>
      <c r="K78" s="375"/>
      <c r="L78" s="376"/>
      <c r="M78" s="231"/>
      <c r="N78" s="797" t="s">
        <v>289</v>
      </c>
      <c r="O78" s="797"/>
      <c r="R78" s="117" t="s">
        <v>219</v>
      </c>
    </row>
    <row r="79" spans="1:18" s="2" customFormat="1" ht="14.25" customHeight="1" thickBot="1">
      <c r="A79" s="794">
        <f ca="1">IF(K3="MTDC",IF(G79&gt;0,"Modified Total Direct Costs (MTDC) Cost-Share Base =",),IF(G79&gt;0,"Total Direct Costs (TDC) Cost-Share Base =",))</f>
        <v>0</v>
      </c>
      <c r="B79" s="795"/>
      <c r="C79" s="795"/>
      <c r="D79" s="795"/>
      <c r="E79" s="795"/>
      <c r="F79" s="795"/>
      <c r="G79" s="504">
        <f ca="1">IF(K3="MTDC",IF('BP1'!K5&gt;0,N75-N50-N59-N61-IF(N62="",0,N62)-IF(N63="",0,N63)-IF(N64="",0,N64)-IF(N65="",0,N65)-IF(N66="",0,N66)-IF(N67="",0,N67)-IF(N68="",0,N68)-IF(N69="",0,N69)-IF(N70="",0,N70)-IF(N71="",0,N71)-IF(N72="",0,N72)-IF(N73="",0,N73),0),IF('BP1'!K5&gt;0,N75,0))</f>
        <v>0</v>
      </c>
      <c r="H79" s="796" t="s">
        <v>217</v>
      </c>
      <c r="I79" s="796"/>
      <c r="J79" s="796"/>
      <c r="K79" s="752">
        <f ca="1">IF($L$2="No F&amp;A",0,(IF($L$2="Custom",I77,(AVERAGEIFS(INDIRECT(SUBSTITUTE(SUBSTITUTE(CONCATENATE($K$2,$L$2)," ",""),"-","")),StartDateList,"&gt;="&amp;(DATE(YEAR($K$8),MONTH($K$8),1)),StartDateList,"&lt;="&amp;$K$10))))*G78)</f>
        <v>0</v>
      </c>
      <c r="L79" s="753"/>
      <c r="M79" s="356"/>
      <c r="N79" s="767">
        <f ca="1">IF($L$2="No F&amp;A",0,(IF($L$2="Custom",$I$77,(AVERAGEIFS(INDIRECT(SUBSTITUTE(SUBSTITUTE(CONCATENATE($K$2,$L$2)," ",""),"-","")),StartDateList,"&gt;="&amp;(DATE(YEAR($K$8),MONTH($K$8),1)),StartDateList,"&lt;="&amp;$K$10))))*$G$79)</f>
        <v>0</v>
      </c>
      <c r="O79" s="772"/>
      <c r="R79" s="117" t="s">
        <v>219</v>
      </c>
    </row>
    <row r="80" spans="1:18" s="2" customFormat="1" ht="14.25" customHeight="1" thickBot="1">
      <c r="A80" s="188" t="s">
        <v>96</v>
      </c>
      <c r="B80" s="149"/>
      <c r="C80" s="149"/>
      <c r="D80" s="150"/>
      <c r="E80" s="150"/>
      <c r="F80" s="150"/>
      <c r="G80" s="150"/>
      <c r="H80" s="149"/>
      <c r="I80" s="151"/>
      <c r="J80" s="149"/>
      <c r="K80" s="752">
        <f>IF($A$5&lt;=$K$5,ROUND(K75,0)+ROUND(K79,0),0)</f>
        <v>0</v>
      </c>
      <c r="L80" s="753"/>
      <c r="M80" s="356"/>
      <c r="N80" s="767">
        <f ca="1">ROUND(N75,0)+ROUND(N79,0)</f>
        <v>0</v>
      </c>
      <c r="O80" s="772"/>
      <c r="R80" s="117" t="s">
        <v>219</v>
      </c>
    </row>
    <row r="81" spans="1:18" ht="14.25" customHeight="1" thickBot="1">
      <c r="M81" s="231"/>
      <c r="R81" s="117" t="s">
        <v>219</v>
      </c>
    </row>
    <row r="82" spans="1:18" ht="14.25" customHeight="1" thickBot="1">
      <c r="A82" s="188" t="s">
        <v>584</v>
      </c>
      <c r="B82" s="149"/>
      <c r="C82" s="149"/>
      <c r="D82" s="150"/>
      <c r="E82" s="150"/>
      <c r="F82" s="150"/>
      <c r="G82" s="150"/>
      <c r="H82" s="149"/>
      <c r="I82" s="151"/>
      <c r="J82" s="149"/>
      <c r="K82" s="841">
        <f>'BP1'!K75+'BP2'!K75+'BP3'!K75+'BP4'!K75+'BP5'!K75</f>
        <v>0</v>
      </c>
      <c r="L82" s="841"/>
      <c r="M82" s="231"/>
      <c r="N82" s="767">
        <f ca="1">'BP1'!N75+'BP2'!N75+'BP3'!N75+'BP4'!N75+'BP5'!N75</f>
        <v>0</v>
      </c>
      <c r="O82" s="772"/>
      <c r="R82" s="117" t="s">
        <v>219</v>
      </c>
    </row>
    <row r="83" spans="1:18" ht="14.25" customHeight="1" thickBot="1">
      <c r="A83" s="188" t="str">
        <f>IF(AND(SUM(K62:K73)&gt;0,'Subaward Calculator'!AD46=0),"","     Cumulative Total NU Direct Costs and Subaward Direct Costs")</f>
        <v xml:space="preserve">     Cumulative Total NU Direct Costs and Subaward Direct Costs</v>
      </c>
      <c r="B83" s="149"/>
      <c r="C83" s="149"/>
      <c r="D83" s="150"/>
      <c r="E83" s="150"/>
      <c r="F83" s="150"/>
      <c r="G83" s="150"/>
      <c r="H83" s="149"/>
      <c r="I83" s="151"/>
      <c r="J83" s="149"/>
      <c r="K83" s="841">
        <f>IF(AND(SUM(K62:K73)&gt;0,'Subaward Calculator'!AD46=0),"",'BP1'!K75+'BP2'!K75+'BP3'!K75+'BP4'!K75+'BP5'!K75-'Subaward Calculator'!AD46+'Subaward Calculator'!AD44)</f>
        <v>0</v>
      </c>
      <c r="L83" s="841"/>
      <c r="M83" s="231"/>
      <c r="N83" s="502"/>
      <c r="O83" s="502"/>
      <c r="R83" s="117" t="s">
        <v>219</v>
      </c>
    </row>
    <row r="84" spans="1:18" ht="14.25" customHeight="1" thickBot="1">
      <c r="A84" s="188" t="s">
        <v>464</v>
      </c>
      <c r="B84" s="149"/>
      <c r="C84" s="149"/>
      <c r="D84" s="150"/>
      <c r="E84" s="150"/>
      <c r="F84" s="150"/>
      <c r="G84" s="150"/>
      <c r="H84" s="149"/>
      <c r="I84" s="151"/>
      <c r="J84" s="149"/>
      <c r="K84" s="841">
        <f ca="1">'BP1'!K80+'BP2'!K80+'BP3'!K80+'BP4'!K80+'BP5'!K80</f>
        <v>0</v>
      </c>
      <c r="L84" s="841"/>
      <c r="M84" s="231"/>
      <c r="N84" s="767">
        <f ca="1">'BP1'!N80+'BP2'!N80+'BP3'!N80+'BP4'!N80+'BP5'!N80</f>
        <v>0</v>
      </c>
      <c r="O84" s="772"/>
      <c r="R84" s="117" t="s">
        <v>219</v>
      </c>
    </row>
    <row r="85" spans="1:18" ht="14.25" customHeight="1" thickBot="1">
      <c r="A85" s="359"/>
      <c r="B85" s="263"/>
      <c r="C85" s="263"/>
      <c r="D85" s="261"/>
      <c r="E85" s="261"/>
      <c r="F85" s="261"/>
      <c r="G85" s="261"/>
      <c r="H85" s="263"/>
      <c r="I85" s="264"/>
      <c r="J85" s="263"/>
      <c r="K85" s="326"/>
      <c r="L85" s="326"/>
      <c r="M85" s="231"/>
      <c r="N85" s="237"/>
      <c r="O85" s="237"/>
      <c r="R85" s="117" t="s">
        <v>219</v>
      </c>
    </row>
    <row r="86" spans="1:18" ht="14.25" customHeight="1" thickBot="1">
      <c r="K86" s="777"/>
      <c r="L86" s="777"/>
      <c r="N86" s="778">
        <f>$A$5</f>
        <v>5</v>
      </c>
      <c r="O86" s="779"/>
      <c r="P86" s="839" t="s">
        <v>423</v>
      </c>
      <c r="Q86" s="840"/>
      <c r="R86" s="117" t="s">
        <v>219</v>
      </c>
    </row>
    <row r="87" spans="1:18" ht="14.25" customHeight="1" thickBot="1">
      <c r="G87" s="786" t="str">
        <f ca="1">IF(('BP1'!$N$80+'BP2'!$N$80+'BP3'!$N$80+'BP4'!$N$80+'BP5'!$N$80)&gt;0,"NORTHWESTERN COST-SHARE","")</f>
        <v/>
      </c>
      <c r="H87" s="786"/>
      <c r="I87" s="786"/>
      <c r="J87" s="786"/>
      <c r="K87" s="786"/>
      <c r="L87" s="786"/>
      <c r="N87" s="752">
        <f ca="1">N80-SUM(N62:N73)</f>
        <v>0</v>
      </c>
      <c r="O87" s="753"/>
      <c r="P87" s="820">
        <f ca="1">'BP1'!$N$87+'BP2'!$N$87+'BP3'!$N$87+'BP4'!$N$87+'BP5'!$N$87</f>
        <v>0</v>
      </c>
      <c r="Q87" s="821">
        <f>'BP1'!Q78+'BP2'!Q78+'BP3'!Q78+'BP4'!Q78+'BP5'!Q78</f>
        <v>0</v>
      </c>
      <c r="R87" s="117" t="s">
        <v>219</v>
      </c>
    </row>
    <row r="88" spans="1:18" ht="14.25" customHeight="1" thickBot="1">
      <c r="F88" s="261"/>
      <c r="G88" s="786" t="str">
        <f ca="1">IF(('BP1'!$N$80+'BP2'!$N$80+'BP3'!$N$80+'BP4'!$N$80+'BP5'!$N$80)&gt;0,"SUBAWARD COST-SHARE","")</f>
        <v/>
      </c>
      <c r="H88" s="786"/>
      <c r="I88" s="786"/>
      <c r="J88" s="786"/>
      <c r="K88" s="786"/>
      <c r="L88" s="786"/>
      <c r="M88" s="1"/>
      <c r="N88" s="752">
        <f>SUM(N62:N73)</f>
        <v>0</v>
      </c>
      <c r="O88" s="753"/>
      <c r="P88" s="820">
        <f>'BP1'!$N$88+'BP2'!$N$88+'BP3'!$N$88+'BP4'!$N$88+'BP5'!$N$88</f>
        <v>0</v>
      </c>
      <c r="Q88" s="821">
        <f>'BP1'!Q79+'BP2'!Q79+'BP3'!Q79+'BP4'!Q79+'BP5'!Q79</f>
        <v>0</v>
      </c>
      <c r="R88" s="117" t="s">
        <v>219</v>
      </c>
    </row>
    <row r="89" spans="1:18" ht="14.25" customHeight="1" thickBot="1">
      <c r="F89" s="261"/>
      <c r="G89" s="786" t="str">
        <f ca="1">IF(('BP1'!$N$80+'BP2'!$N$80+'BP3'!$N$80+'BP4'!$N$80+'BP5'!$N$80)&gt;0,"THIRD PARTY COST-SHARE","")</f>
        <v/>
      </c>
      <c r="H89" s="786"/>
      <c r="I89" s="786"/>
      <c r="J89" s="786"/>
      <c r="K89" s="786"/>
      <c r="L89" s="786"/>
      <c r="M89" s="1"/>
      <c r="N89" s="787"/>
      <c r="O89" s="788"/>
      <c r="P89" s="820">
        <f>'BP1'!$N$89+'BP2'!$N$89+'BP3'!$N$89+'BP4'!$N$89+'BP5'!$N$89</f>
        <v>0</v>
      </c>
      <c r="Q89" s="821">
        <f>'BP1'!Q78+'BP2'!Q78+'BP3'!Q78+'BP4'!Q78+'BP5'!Q78</f>
        <v>0</v>
      </c>
      <c r="R89" s="117" t="s">
        <v>219</v>
      </c>
    </row>
    <row r="90" spans="1:18" ht="14.25" customHeight="1" thickBot="1">
      <c r="F90" s="259"/>
      <c r="G90" s="786" t="str">
        <f ca="1">IF(('BP1'!$N$80+'BP2'!$N$80+'BP3'!$N$80+'BP4'!$N$80+'BP5'!$N$80)&gt;0,"TOTAL COST-SHARED","")</f>
        <v/>
      </c>
      <c r="H90" s="786"/>
      <c r="I90" s="786"/>
      <c r="J90" s="786"/>
      <c r="K90" s="786"/>
      <c r="L90" s="786"/>
      <c r="M90" s="1"/>
      <c r="N90" s="752">
        <f ca="1">$N$80+$N$89</f>
        <v>0</v>
      </c>
      <c r="O90" s="753"/>
      <c r="P90" s="820">
        <f ca="1">'BP1'!$N$90+'BP2'!$N$90+'BP3'!$N$90+'BP4'!$N$90+'BP5'!$N$90</f>
        <v>0</v>
      </c>
      <c r="Q90" s="821">
        <f>'BP1'!Q79+'BP2'!Q79+'BP3'!Q79+'BP4'!Q79+'BP5'!Q79</f>
        <v>0</v>
      </c>
      <c r="R90" s="117" t="s">
        <v>219</v>
      </c>
    </row>
    <row r="91" spans="1:18" ht="14.25" customHeight="1" thickBot="1">
      <c r="F91" s="784" t="str">
        <f ca="1">IF(('BP1'!$N$80+'BP2'!$N$80+'BP3'!$N$80+'BP4'!$N$80+'BP5'!$N$80)&gt;0,"TOTAL SPONSOR COSTS","")</f>
        <v/>
      </c>
      <c r="G91" s="784"/>
      <c r="H91" s="784"/>
      <c r="I91" s="784"/>
      <c r="J91" s="784"/>
      <c r="K91" s="784"/>
      <c r="L91" s="784"/>
      <c r="M91" s="1"/>
      <c r="N91" s="752">
        <f ca="1">IF(('BP1'!$N$80+'BP2'!$N$80+'BP3'!$N$80+'BP4'!$N$80+'BP5'!$N$80)&gt;0,$K$80,)</f>
        <v>0</v>
      </c>
      <c r="O91" s="753"/>
      <c r="P91" s="820">
        <f ca="1">'BP1'!$N$91+'BP2'!$N$91+'BP3'!$N$91+'BP4'!$N$91+'BP5'!$N$91</f>
        <v>0</v>
      </c>
      <c r="Q91" s="821">
        <f>'BP1'!Q80+'BP2'!Q80+'BP3'!Q80+'BP4'!Q80+'BP5'!Q80</f>
        <v>0</v>
      </c>
      <c r="R91" s="117" t="s">
        <v>219</v>
      </c>
    </row>
    <row r="92" spans="1:18" ht="14.25" customHeight="1" thickBot="1">
      <c r="F92" s="784" t="str">
        <f ca="1">IF(('BP1'!$N$80+'BP2'!$N$80+'BP3'!$N$80+'BP4'!$N$80+'BP5'!$N$80)&gt;0,"NORTHWESTERN SPONSOR COSTS","")</f>
        <v/>
      </c>
      <c r="G92" s="784"/>
      <c r="H92" s="784"/>
      <c r="I92" s="784"/>
      <c r="J92" s="784"/>
      <c r="K92" s="784"/>
      <c r="L92" s="784"/>
      <c r="M92" s="1"/>
      <c r="N92" s="752">
        <f ca="1">IF(('BP1'!$N$80+'BP2'!$N$80+'BP3'!$N$80+'BP4'!$N$80+'BP5'!$N$80)&gt;0,$K$80-SUM(K62:L73),)</f>
        <v>0</v>
      </c>
      <c r="O92" s="753"/>
      <c r="P92" s="820">
        <f ca="1">'BP1'!$N$92+'BP2'!$N$92+'BP3'!$N$92+'BP4'!$N$92+'BP5'!$N$92</f>
        <v>0</v>
      </c>
      <c r="Q92" s="821">
        <f>'BP1'!Q83+'BP2'!Q83+'BP3'!Q83+'BP4'!Q83+'BP5'!Q83</f>
        <v>0</v>
      </c>
      <c r="R92" s="117" t="s">
        <v>219</v>
      </c>
    </row>
    <row r="93" spans="1:18" ht="14.25" customHeight="1" thickBot="1">
      <c r="F93" s="259"/>
      <c r="G93" s="784" t="str">
        <f ca="1">IF(('BP1'!$N$80+'BP2'!$N$80+'BP3'!$N$80+'BP4'!$N$80+'BP5'!$N$80)&gt;0,"PROJECT COSTS","")</f>
        <v/>
      </c>
      <c r="H93" s="784"/>
      <c r="I93" s="784"/>
      <c r="J93" s="784"/>
      <c r="K93" s="784"/>
      <c r="L93" s="784"/>
      <c r="M93" s="1"/>
      <c r="N93" s="752">
        <f ca="1">IF(('BP1'!$N$80+'BP2'!$N$80+'BP3'!$N$80+'BP4'!$N$80+'BP5'!$N$80)&gt;0,$N$91+$N$90,)</f>
        <v>0</v>
      </c>
      <c r="O93" s="753"/>
      <c r="P93" s="820">
        <f ca="1">'BP1'!$N$93+'BP2'!$N$93+'BP3'!$N$93+'BP4'!$N$93+'BP5'!$N$93</f>
        <v>0</v>
      </c>
      <c r="Q93" s="821">
        <f>'BP1'!Q81+'BP2'!Q81+'BP3'!Q81+'BP4'!Q81+'BP5'!Q81</f>
        <v>0</v>
      </c>
      <c r="R93" s="117" t="s">
        <v>219</v>
      </c>
    </row>
    <row r="94" spans="1:18" ht="14.25" customHeight="1" thickBot="1">
      <c r="F94" s="260"/>
      <c r="G94" s="785" t="str">
        <f ca="1">IF(('BP1'!$N$80+'BP2'!$N$80+'BP3'!$N$80+'BP4'!$N$80+'BP5'!$N$80)&gt;0,"COST-SHARE AS % OF SPONSOR COSTS","")</f>
        <v/>
      </c>
      <c r="H94" s="785"/>
      <c r="I94" s="785"/>
      <c r="J94" s="785"/>
      <c r="K94" s="785"/>
      <c r="L94" s="785"/>
      <c r="M94" s="1"/>
      <c r="N94" s="775">
        <f ca="1">IFERROR($N$90/$N$91,)</f>
        <v>0</v>
      </c>
      <c r="O94" s="776"/>
      <c r="P94" s="842">
        <f ca="1">IFERROR($P$90/$P$91,)</f>
        <v>0</v>
      </c>
      <c r="Q94" s="843"/>
      <c r="R94" s="117" t="s">
        <v>219</v>
      </c>
    </row>
    <row r="95" spans="1:18" ht="14.25" customHeight="1" thickBot="1">
      <c r="F95" s="784" t="str">
        <f ca="1">IF(('BP1'!$N$80+'BP2'!$N$80+'BP3'!$N$80+'BP4'!$N$80+'BP5'!$N$80)&gt;0,"COST-SHARE AS % OF PROJECT COSTS","")</f>
        <v/>
      </c>
      <c r="G95" s="784"/>
      <c r="H95" s="784"/>
      <c r="I95" s="784"/>
      <c r="J95" s="784"/>
      <c r="K95" s="784"/>
      <c r="L95" s="784"/>
      <c r="M95" s="1"/>
      <c r="N95" s="775">
        <f ca="1">IFERROR($N$90/$N$93,)</f>
        <v>0</v>
      </c>
      <c r="O95" s="776"/>
      <c r="P95" s="842">
        <f ca="1">IFERROR($P$90/$P$93,)</f>
        <v>0</v>
      </c>
      <c r="Q95" s="843"/>
      <c r="R95" s="117" t="s">
        <v>219</v>
      </c>
    </row>
    <row r="96" spans="1:18" ht="12.75"/>
  </sheetData>
  <sheetProtection formatCells="0" formatColumns="0" formatRows="0"/>
  <autoFilter ref="R1:R95" xr:uid="{00000000-0009-0000-0000-000006000000}">
    <filterColumn colId="0">
      <filters>
        <filter val="A) Condensed"/>
      </filters>
    </filterColumn>
  </autoFilter>
  <mergeCells count="202">
    <mergeCell ref="P87:Q87"/>
    <mergeCell ref="P92:Q92"/>
    <mergeCell ref="B47:F47"/>
    <mergeCell ref="C59:J59"/>
    <mergeCell ref="C55:J55"/>
    <mergeCell ref="B22:F22"/>
    <mergeCell ref="H10:J11"/>
    <mergeCell ref="B23:F23"/>
    <mergeCell ref="B24:F24"/>
    <mergeCell ref="B25:F25"/>
    <mergeCell ref="B26:F26"/>
    <mergeCell ref="B27:F27"/>
    <mergeCell ref="B28:F28"/>
    <mergeCell ref="B29:F29"/>
    <mergeCell ref="G12:G14"/>
    <mergeCell ref="C57:J57"/>
    <mergeCell ref="H12:J12"/>
    <mergeCell ref="H13:J13"/>
    <mergeCell ref="C56:J56"/>
    <mergeCell ref="C58:J58"/>
    <mergeCell ref="H51:J51"/>
    <mergeCell ref="H52:J52"/>
    <mergeCell ref="H53:J53"/>
    <mergeCell ref="B48:F48"/>
    <mergeCell ref="I77:J77"/>
    <mergeCell ref="G73:I73"/>
    <mergeCell ref="K73:L73"/>
    <mergeCell ref="K62:L62"/>
    <mergeCell ref="K69:L69"/>
    <mergeCell ref="G62:I62"/>
    <mergeCell ref="B49:F49"/>
    <mergeCell ref="G87:L87"/>
    <mergeCell ref="K55:L55"/>
    <mergeCell ref="K56:L56"/>
    <mergeCell ref="K65:L65"/>
    <mergeCell ref="K66:L66"/>
    <mergeCell ref="K64:L64"/>
    <mergeCell ref="C61:J61"/>
    <mergeCell ref="C60:J60"/>
    <mergeCell ref="G66:I66"/>
    <mergeCell ref="N74:O74"/>
    <mergeCell ref="K74:L74"/>
    <mergeCell ref="K72:L72"/>
    <mergeCell ref="N61:O61"/>
    <mergeCell ref="N62:O62"/>
    <mergeCell ref="N63:O63"/>
    <mergeCell ref="N64:O64"/>
    <mergeCell ref="K61:L61"/>
    <mergeCell ref="N67:O67"/>
    <mergeCell ref="N73:O73"/>
    <mergeCell ref="K63:L63"/>
    <mergeCell ref="K49:L49"/>
    <mergeCell ref="K46:L46"/>
    <mergeCell ref="K47:L47"/>
    <mergeCell ref="K52:L52"/>
    <mergeCell ref="K51:L51"/>
    <mergeCell ref="N87:O87"/>
    <mergeCell ref="K58:L58"/>
    <mergeCell ref="K60:L60"/>
    <mergeCell ref="K59:L59"/>
    <mergeCell ref="K79:L79"/>
    <mergeCell ref="K75:L75"/>
    <mergeCell ref="N66:O66"/>
    <mergeCell ref="K82:L82"/>
    <mergeCell ref="N68:O68"/>
    <mergeCell ref="N69:O69"/>
    <mergeCell ref="E63:F63"/>
    <mergeCell ref="G63:I63"/>
    <mergeCell ref="E64:F64"/>
    <mergeCell ref="G64:I64"/>
    <mergeCell ref="E65:F65"/>
    <mergeCell ref="G65:I65"/>
    <mergeCell ref="K70:L70"/>
    <mergeCell ref="K71:L71"/>
    <mergeCell ref="E69:F69"/>
    <mergeCell ref="G69:I69"/>
    <mergeCell ref="E67:F67"/>
    <mergeCell ref="G67:I67"/>
    <mergeCell ref="E68:F68"/>
    <mergeCell ref="G68:I68"/>
    <mergeCell ref="N70:O70"/>
    <mergeCell ref="N71:O71"/>
    <mergeCell ref="K67:L67"/>
    <mergeCell ref="K68:L68"/>
    <mergeCell ref="N82:O82"/>
    <mergeCell ref="K80:L80"/>
    <mergeCell ref="G88:L88"/>
    <mergeCell ref="N88:O88"/>
    <mergeCell ref="P88:Q88"/>
    <mergeCell ref="A79:F79"/>
    <mergeCell ref="B46:F46"/>
    <mergeCell ref="N46:O46"/>
    <mergeCell ref="K84:L84"/>
    <mergeCell ref="K83:L83"/>
    <mergeCell ref="K76:L76"/>
    <mergeCell ref="G70:I70"/>
    <mergeCell ref="G71:I71"/>
    <mergeCell ref="E70:F70"/>
    <mergeCell ref="P86:Q86"/>
    <mergeCell ref="N84:O84"/>
    <mergeCell ref="N75:O75"/>
    <mergeCell ref="N86:O86"/>
    <mergeCell ref="G77:H77"/>
    <mergeCell ref="E72:F72"/>
    <mergeCell ref="G72:I72"/>
    <mergeCell ref="E73:F73"/>
    <mergeCell ref="K86:L86"/>
    <mergeCell ref="N79:O79"/>
    <mergeCell ref="H79:J79"/>
    <mergeCell ref="C63:D63"/>
    <mergeCell ref="P95:Q95"/>
    <mergeCell ref="N90:O90"/>
    <mergeCell ref="N91:O91"/>
    <mergeCell ref="N93:O93"/>
    <mergeCell ref="N94:O94"/>
    <mergeCell ref="N95:O95"/>
    <mergeCell ref="N89:O89"/>
    <mergeCell ref="F91:L91"/>
    <mergeCell ref="F95:L95"/>
    <mergeCell ref="P94:Q94"/>
    <mergeCell ref="G94:L94"/>
    <mergeCell ref="P93:Q93"/>
    <mergeCell ref="P89:Q89"/>
    <mergeCell ref="P90:Q90"/>
    <mergeCell ref="P91:Q91"/>
    <mergeCell ref="G90:L90"/>
    <mergeCell ref="G93:L93"/>
    <mergeCell ref="G89:L89"/>
    <mergeCell ref="F92:L92"/>
    <mergeCell ref="N92:O92"/>
    <mergeCell ref="A1:J4"/>
    <mergeCell ref="K1:L1"/>
    <mergeCell ref="K4:L4"/>
    <mergeCell ref="A5:J6"/>
    <mergeCell ref="K5:L5"/>
    <mergeCell ref="K6:L6"/>
    <mergeCell ref="B45:F45"/>
    <mergeCell ref="K12:L13"/>
    <mergeCell ref="A9:D9"/>
    <mergeCell ref="A11:D11"/>
    <mergeCell ref="K7:L7"/>
    <mergeCell ref="B15:F15"/>
    <mergeCell ref="B16:F16"/>
    <mergeCell ref="B17:F17"/>
    <mergeCell ref="B18:F18"/>
    <mergeCell ref="B19:F19"/>
    <mergeCell ref="B20:F20"/>
    <mergeCell ref="A30:F30"/>
    <mergeCell ref="B21:F21"/>
    <mergeCell ref="H8:J9"/>
    <mergeCell ref="E9:G9"/>
    <mergeCell ref="E11:G11"/>
    <mergeCell ref="K42:L42"/>
    <mergeCell ref="K45:L45"/>
    <mergeCell ref="N58:O58"/>
    <mergeCell ref="N57:O57"/>
    <mergeCell ref="N42:O42"/>
    <mergeCell ref="N43:O43"/>
    <mergeCell ref="N45:O45"/>
    <mergeCell ref="K57:L57"/>
    <mergeCell ref="K53:L53"/>
    <mergeCell ref="M1:O9"/>
    <mergeCell ref="M10:O11"/>
    <mergeCell ref="N41:O41"/>
    <mergeCell ref="N12:O13"/>
    <mergeCell ref="K43:L43"/>
    <mergeCell ref="N53:O53"/>
    <mergeCell ref="N55:O55"/>
    <mergeCell ref="N56:O56"/>
    <mergeCell ref="N48:O48"/>
    <mergeCell ref="N49:O49"/>
    <mergeCell ref="N50:O50"/>
    <mergeCell ref="N51:O51"/>
    <mergeCell ref="N52:O52"/>
    <mergeCell ref="K41:L41"/>
    <mergeCell ref="N47:O47"/>
    <mergeCell ref="K50:L50"/>
    <mergeCell ref="K48:L48"/>
    <mergeCell ref="N59:O59"/>
    <mergeCell ref="N60:O60"/>
    <mergeCell ref="K3:L3"/>
    <mergeCell ref="K8:L9"/>
    <mergeCell ref="K10:L11"/>
    <mergeCell ref="N80:O80"/>
    <mergeCell ref="N72:O72"/>
    <mergeCell ref="A78:F78"/>
    <mergeCell ref="E66:F66"/>
    <mergeCell ref="E62:F62"/>
    <mergeCell ref="C72:D72"/>
    <mergeCell ref="C73:D73"/>
    <mergeCell ref="C62:D62"/>
    <mergeCell ref="C64:D64"/>
    <mergeCell ref="C65:D65"/>
    <mergeCell ref="C66:D66"/>
    <mergeCell ref="C67:D67"/>
    <mergeCell ref="C68:D68"/>
    <mergeCell ref="C69:D69"/>
    <mergeCell ref="C70:D70"/>
    <mergeCell ref="C71:D71"/>
    <mergeCell ref="E71:F71"/>
    <mergeCell ref="N78:O78"/>
    <mergeCell ref="N65:O65"/>
  </mergeCells>
  <phoneticPr fontId="10" type="noConversion"/>
  <conditionalFormatting sqref="Q15:Q29">
    <cfRule type="cellIs" dxfId="6" priority="7" operator="greaterThan">
      <formula>0</formula>
    </cfRule>
  </conditionalFormatting>
  <conditionalFormatting sqref="I77:J77">
    <cfRule type="expression" dxfId="5" priority="5">
      <formula>$L$2&lt;&gt;"Custom"</formula>
    </cfRule>
    <cfRule type="expression" dxfId="4" priority="6">
      <formula>$L$2="Custom"</formula>
    </cfRule>
  </conditionalFormatting>
  <conditionalFormatting sqref="P88:Q95">
    <cfRule type="expression" dxfId="3" priority="3">
      <formula>$N$80&gt;0</formula>
    </cfRule>
  </conditionalFormatting>
  <conditionalFormatting sqref="P86:Q86">
    <cfRule type="expression" dxfId="2" priority="2">
      <formula>$N$80&gt;0</formula>
    </cfRule>
  </conditionalFormatting>
  <conditionalFormatting sqref="P87:Q87">
    <cfRule type="expression" dxfId="1" priority="1">
      <formula>$N$80&gt;0</formula>
    </cfRule>
  </conditionalFormatting>
  <dataValidations count="3">
    <dataValidation errorStyle="warning" allowBlank="1" showInputMessage="1" sqref="K7" xr:uid="{00000000-0002-0000-0600-000000000000}"/>
    <dataValidation allowBlank="1" showErrorMessage="1" sqref="L2 K2:K3" xr:uid="{00000000-0002-0000-0600-000001000000}"/>
    <dataValidation type="whole" allowBlank="1" showInputMessage="1" showErrorMessage="1" sqref="A5:J6" xr:uid="{00000000-0002-0000-0600-000002000000}">
      <formula1>1</formula1>
      <formula2>20</formula2>
    </dataValidation>
  </dataValidations>
  <printOptions horizontalCentered="1" verticalCentered="1"/>
  <pageMargins left="0.5" right="0.5" top="0.5" bottom="1" header="0.5" footer="0.5"/>
  <pageSetup scale="91" orientation="portrait" horizontalDpi="300" verticalDpi="300" r:id="rId1"/>
  <headerFooter alignWithMargins="0"/>
  <ignoredErrors>
    <ignoredError sqref="E9 E11 K30:O31 H32:H40 K53:O61 K51:O52 G94 A11 G62:I73 O72 O71 O70 O69 O68 O67 O66 O65 O64 O63 O62 O73 N72 N73 N62 N63 N64 N65 N66 N67 N68 N69 N70 N71 K15:L15 N15:O15 K16:L16 N16:O16 K17:L17 N17:O17 K18:L18 N18:O18 K19:L19 N19:O19 K20:L20 N20:O20 K21:L21 N21:O21 K22:L22 N22:O22 K23:L23 N23:O23 K24:L24 N24:O24 K25:L25 N25:O25 K26:L26 N26:O26 K27:L27 N27:O27 K28:L28 N28:O28 K29:L29 N29:O29 K41:O50 K32:L32 N32:O32 K33:L33 N33:O33 K34:L34 N34:O34 K35:L35 N35:O35 K36:L36 N36:O36 K37:L37 N37:O37 K38:L38 N38:O38 K39:L39 N39:O39 K40:L40 N40:O40" unlockedFormula="1"/>
    <ignoredError sqref="G51:G52" numberStoredAsText="1"/>
    <ignoredError sqref="J62:J73" evalError="1"/>
  </ignoredError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filterMode="1">
    <tabColor theme="6" tint="0.59999389629810485"/>
    <pageSetUpPr fitToPage="1"/>
  </sheetPr>
  <dimension ref="A1:R90"/>
  <sheetViews>
    <sheetView showGridLines="0" zoomScaleNormal="100" zoomScaleSheetLayoutView="100" workbookViewId="0">
      <selection activeCell="R1" sqref="R1"/>
    </sheetView>
  </sheetViews>
  <sheetFormatPr defaultRowHeight="12.75" outlineLevelCol="1"/>
  <cols>
    <col min="1" max="1" width="2.42578125" customWidth="1"/>
    <col min="2" max="2" width="3.85546875" customWidth="1"/>
    <col min="3" max="3" width="1.5703125" customWidth="1"/>
    <col min="4" max="4" width="27.140625" customWidth="1"/>
    <col min="5" max="5" width="6.5703125" customWidth="1"/>
    <col min="6" max="6" width="9" customWidth="1"/>
    <col min="7" max="7" width="11.28515625" customWidth="1"/>
    <col min="8" max="10" width="6.85546875" customWidth="1"/>
    <col min="11" max="12" width="12.140625" customWidth="1"/>
    <col min="13" max="13" width="5.85546875" style="81" customWidth="1" outlineLevel="1"/>
    <col min="14" max="14" width="12.140625" customWidth="1" outlineLevel="1"/>
    <col min="15" max="15" width="12.140625" style="81" customWidth="1" outlineLevel="1"/>
    <col min="16" max="17" width="14.42578125" style="81" customWidth="1" outlineLevel="1"/>
    <col min="18" max="18" width="35.5703125" style="1" bestFit="1" customWidth="1"/>
  </cols>
  <sheetData>
    <row r="1" spans="1:18" s="7" customFormat="1" ht="14.25" customHeight="1" thickBot="1">
      <c r="A1" s="854" t="str">
        <f>'BP1'!A1:L1</f>
        <v>Title</v>
      </c>
      <c r="B1" s="855"/>
      <c r="C1" s="855"/>
      <c r="D1" s="855"/>
      <c r="E1" s="855"/>
      <c r="F1" s="855"/>
      <c r="G1" s="855"/>
      <c r="H1" s="855"/>
      <c r="I1" s="855"/>
      <c r="J1" s="856"/>
      <c r="K1" s="722" t="s">
        <v>225</v>
      </c>
      <c r="L1" s="723"/>
      <c r="M1" s="844"/>
      <c r="N1" s="844"/>
      <c r="O1" s="844"/>
      <c r="P1" s="380"/>
      <c r="Q1" s="380"/>
      <c r="R1" s="119" t="s">
        <v>188</v>
      </c>
    </row>
    <row r="2" spans="1:18" s="7" customFormat="1" ht="14.25" customHeight="1">
      <c r="A2" s="857"/>
      <c r="B2" s="858"/>
      <c r="C2" s="858"/>
      <c r="D2" s="858"/>
      <c r="E2" s="858"/>
      <c r="F2" s="858"/>
      <c r="G2" s="858"/>
      <c r="H2" s="858"/>
      <c r="I2" s="858"/>
      <c r="J2" s="858"/>
      <c r="K2" s="462" t="str">
        <f>'BP1'!K2</f>
        <v>Federal</v>
      </c>
      <c r="L2" s="463" t="str">
        <f>'BP1'!L2</f>
        <v>On Campus</v>
      </c>
      <c r="M2" s="844"/>
      <c r="N2" s="844"/>
      <c r="O2" s="844"/>
      <c r="P2" s="380"/>
      <c r="Q2" s="380"/>
      <c r="R2" s="117" t="s">
        <v>219</v>
      </c>
    </row>
    <row r="3" spans="1:18" s="7" customFormat="1" ht="14.25" customHeight="1">
      <c r="A3" s="857"/>
      <c r="B3" s="858"/>
      <c r="C3" s="858"/>
      <c r="D3" s="858"/>
      <c r="E3" s="858"/>
      <c r="F3" s="858"/>
      <c r="G3" s="858"/>
      <c r="H3" s="858"/>
      <c r="I3" s="858"/>
      <c r="J3" s="858"/>
      <c r="K3" s="877" t="str">
        <f>'BP1'!K3</f>
        <v>MTDC</v>
      </c>
      <c r="L3" s="878"/>
      <c r="M3" s="844"/>
      <c r="N3" s="844"/>
      <c r="O3" s="844"/>
      <c r="P3" s="380"/>
      <c r="Q3" s="380"/>
      <c r="R3" s="117" t="s">
        <v>219</v>
      </c>
    </row>
    <row r="4" spans="1:18" s="7" customFormat="1" ht="14.25" customHeight="1">
      <c r="A4" s="857"/>
      <c r="B4" s="858"/>
      <c r="C4" s="858"/>
      <c r="D4" s="858"/>
      <c r="E4" s="858"/>
      <c r="F4" s="858"/>
      <c r="G4" s="858"/>
      <c r="H4" s="858"/>
      <c r="I4" s="858"/>
      <c r="J4" s="859"/>
      <c r="K4" s="724" t="s">
        <v>445</v>
      </c>
      <c r="L4" s="725"/>
      <c r="M4" s="844"/>
      <c r="N4" s="844"/>
      <c r="O4" s="844"/>
      <c r="P4" s="380"/>
      <c r="Q4" s="380"/>
      <c r="R4" s="117" t="s">
        <v>219</v>
      </c>
    </row>
    <row r="5" spans="1:18" s="7" customFormat="1" ht="14.25" customHeight="1">
      <c r="A5" s="870" t="s">
        <v>294</v>
      </c>
      <c r="B5" s="871"/>
      <c r="C5" s="871"/>
      <c r="D5" s="871"/>
      <c r="E5" s="871"/>
      <c r="F5" s="871"/>
      <c r="G5" s="871"/>
      <c r="H5" s="871"/>
      <c r="I5" s="871"/>
      <c r="J5" s="872"/>
      <c r="K5" s="850">
        <f>'BP1'!K5</f>
        <v>1</v>
      </c>
      <c r="L5" s="851"/>
      <c r="M5" s="844"/>
      <c r="N5" s="844"/>
      <c r="O5" s="844"/>
      <c r="P5" s="380"/>
      <c r="Q5" s="380"/>
      <c r="R5" s="117" t="s">
        <v>219</v>
      </c>
    </row>
    <row r="6" spans="1:18" s="7" customFormat="1" ht="13.5" customHeight="1">
      <c r="A6" s="870"/>
      <c r="B6" s="871"/>
      <c r="C6" s="871"/>
      <c r="D6" s="871"/>
      <c r="E6" s="871"/>
      <c r="F6" s="871"/>
      <c r="G6" s="871"/>
      <c r="H6" s="871"/>
      <c r="I6" s="871"/>
      <c r="J6" s="872"/>
      <c r="K6" s="728" t="s">
        <v>98</v>
      </c>
      <c r="L6" s="729"/>
      <c r="M6" s="845"/>
      <c r="N6" s="844"/>
      <c r="O6" s="844"/>
      <c r="P6" s="380"/>
      <c r="Q6" s="380"/>
      <c r="R6" s="117" t="s">
        <v>219</v>
      </c>
    </row>
    <row r="7" spans="1:18" s="7" customFormat="1" ht="14.25" customHeight="1">
      <c r="A7" s="214"/>
      <c r="B7" s="215"/>
      <c r="C7" s="215"/>
      <c r="D7" s="216"/>
      <c r="E7" s="216"/>
      <c r="F7" s="216"/>
      <c r="G7" s="217"/>
      <c r="H7" s="215"/>
      <c r="I7" s="215"/>
      <c r="J7" s="218"/>
      <c r="K7" s="852">
        <f>'BP1'!K7</f>
        <v>0.03</v>
      </c>
      <c r="L7" s="853"/>
      <c r="M7" s="845"/>
      <c r="N7" s="844"/>
      <c r="O7" s="844"/>
      <c r="P7" s="380"/>
      <c r="Q7" s="380"/>
      <c r="R7" s="117" t="s">
        <v>219</v>
      </c>
    </row>
    <row r="8" spans="1:18" s="7" customFormat="1" ht="14.25" customHeight="1">
      <c r="A8" s="179" t="s">
        <v>200</v>
      </c>
      <c r="B8" s="180"/>
      <c r="C8" s="180"/>
      <c r="D8" s="181"/>
      <c r="E8" s="182" t="str">
        <f>'BP1'!E8</f>
        <v>Originating Sponsor</v>
      </c>
      <c r="F8" s="156"/>
      <c r="G8" s="156"/>
      <c r="H8" s="738" t="s">
        <v>514</v>
      </c>
      <c r="I8" s="738"/>
      <c r="J8" s="739"/>
      <c r="K8" s="734">
        <f>'BP1'!K8</f>
        <v>43343</v>
      </c>
      <c r="L8" s="827"/>
      <c r="M8" s="845"/>
      <c r="N8" s="844"/>
      <c r="O8" s="844"/>
      <c r="P8" s="380"/>
      <c r="Q8" s="380"/>
      <c r="R8" s="117" t="s">
        <v>219</v>
      </c>
    </row>
    <row r="9" spans="1:18" s="7" customFormat="1" ht="14.25" customHeight="1">
      <c r="A9" s="709" t="s">
        <v>1</v>
      </c>
      <c r="B9" s="710"/>
      <c r="C9" s="710"/>
      <c r="D9" s="710"/>
      <c r="E9" s="860" t="str">
        <f>IF(ISBLANK('BP1'!E9),"",'BP1'!E9)</f>
        <v/>
      </c>
      <c r="F9" s="860"/>
      <c r="G9" s="860"/>
      <c r="H9" s="740"/>
      <c r="I9" s="740"/>
      <c r="J9" s="741"/>
      <c r="K9" s="828"/>
      <c r="L9" s="829"/>
      <c r="M9" s="846"/>
      <c r="N9" s="847"/>
      <c r="O9" s="847"/>
      <c r="P9" s="380"/>
      <c r="Q9" s="380"/>
      <c r="R9" s="117" t="s">
        <v>219</v>
      </c>
    </row>
    <row r="10" spans="1:18" s="7" customFormat="1" ht="14.25" customHeight="1">
      <c r="A10" s="183" t="s">
        <v>205</v>
      </c>
      <c r="B10" s="144"/>
      <c r="C10" s="144"/>
      <c r="D10" s="145"/>
      <c r="E10" s="182" t="str">
        <f>'BP1'!E10</f>
        <v>Flow-through Sponsor</v>
      </c>
      <c r="F10" s="156"/>
      <c r="G10" s="156"/>
      <c r="H10" s="738" t="s">
        <v>515</v>
      </c>
      <c r="I10" s="738"/>
      <c r="J10" s="739"/>
      <c r="K10" s="734">
        <f ca="1">INDIRECT("BP"&amp;'BP1'!K5&amp;"!K10")</f>
        <v>43707</v>
      </c>
      <c r="L10" s="827"/>
      <c r="M10" s="747" t="s">
        <v>562</v>
      </c>
      <c r="N10" s="748"/>
      <c r="O10" s="848"/>
      <c r="P10" s="385"/>
      <c r="Q10" s="385"/>
      <c r="R10" s="117" t="s">
        <v>219</v>
      </c>
    </row>
    <row r="11" spans="1:18" s="7" customFormat="1" ht="14.25" customHeight="1">
      <c r="A11" s="711" t="str">
        <f>'BP1'!A11:D11</f>
        <v>Professor McCormick</v>
      </c>
      <c r="B11" s="712"/>
      <c r="C11" s="712"/>
      <c r="D11" s="712"/>
      <c r="E11" s="860" t="str">
        <f>IF(ISBLANK('BP1'!E11),"",'BP1'!E11)</f>
        <v/>
      </c>
      <c r="F11" s="860"/>
      <c r="G11" s="860"/>
      <c r="H11" s="740"/>
      <c r="I11" s="740"/>
      <c r="J11" s="741"/>
      <c r="K11" s="828"/>
      <c r="L11" s="829"/>
      <c r="M11" s="749"/>
      <c r="N11" s="750"/>
      <c r="O11" s="849"/>
      <c r="P11" s="385"/>
      <c r="Q11" s="385"/>
      <c r="R11" s="117" t="s">
        <v>219</v>
      </c>
    </row>
    <row r="12" spans="1:18" s="7" customFormat="1" ht="14.25" customHeight="1">
      <c r="A12" s="183" t="s">
        <v>202</v>
      </c>
      <c r="B12" s="269"/>
      <c r="C12" s="269"/>
      <c r="D12" s="271"/>
      <c r="E12" s="157"/>
      <c r="F12" s="331"/>
      <c r="G12" s="689" t="s">
        <v>902</v>
      </c>
      <c r="H12" s="692" t="s">
        <v>516</v>
      </c>
      <c r="I12" s="693"/>
      <c r="J12" s="694"/>
      <c r="K12" s="700" t="s">
        <v>35</v>
      </c>
      <c r="L12" s="701"/>
      <c r="M12" s="378" t="s">
        <v>286</v>
      </c>
      <c r="N12" s="700" t="s">
        <v>35</v>
      </c>
      <c r="O12" s="701"/>
      <c r="P12" s="386"/>
      <c r="Q12" s="386"/>
      <c r="R12" s="117" t="s">
        <v>219</v>
      </c>
    </row>
    <row r="13" spans="1:18" s="7" customFormat="1" ht="14.25" customHeight="1">
      <c r="A13" s="143"/>
      <c r="B13" s="144"/>
      <c r="C13" s="144"/>
      <c r="D13" s="157"/>
      <c r="E13" s="157"/>
      <c r="F13" s="332"/>
      <c r="G13" s="690"/>
      <c r="H13" s="789" t="s">
        <v>285</v>
      </c>
      <c r="I13" s="790"/>
      <c r="J13" s="791"/>
      <c r="K13" s="702"/>
      <c r="L13" s="703"/>
      <c r="M13" s="377" t="s">
        <v>287</v>
      </c>
      <c r="N13" s="702"/>
      <c r="O13" s="703"/>
      <c r="P13" s="386"/>
      <c r="Q13" s="386"/>
      <c r="R13" s="117" t="s">
        <v>219</v>
      </c>
    </row>
    <row r="14" spans="1:18" s="7" customFormat="1" ht="14.25" customHeight="1">
      <c r="A14" s="143"/>
      <c r="B14" s="155"/>
      <c r="C14" s="155"/>
      <c r="D14" s="153"/>
      <c r="E14" s="153"/>
      <c r="F14" s="379"/>
      <c r="G14" s="691"/>
      <c r="H14" s="173" t="s">
        <v>2</v>
      </c>
      <c r="I14" s="174" t="s">
        <v>198</v>
      </c>
      <c r="J14" s="174" t="s">
        <v>199</v>
      </c>
      <c r="K14" s="170" t="s">
        <v>33</v>
      </c>
      <c r="L14" s="171" t="s">
        <v>34</v>
      </c>
      <c r="M14" s="236" t="s">
        <v>288</v>
      </c>
      <c r="N14" s="170" t="s">
        <v>33</v>
      </c>
      <c r="O14" s="171" t="s">
        <v>34</v>
      </c>
      <c r="P14" s="387"/>
      <c r="Q14" s="387"/>
      <c r="R14" s="117" t="s">
        <v>219</v>
      </c>
    </row>
    <row r="15" spans="1:18" s="7" customFormat="1" ht="14.25" customHeight="1">
      <c r="A15" s="184">
        <v>1</v>
      </c>
      <c r="B15" s="830" t="str">
        <f>A11</f>
        <v>Professor McCormick</v>
      </c>
      <c r="C15" s="831"/>
      <c r="D15" s="831"/>
      <c r="E15" s="831"/>
      <c r="F15" s="832"/>
      <c r="G15" s="229">
        <f>IF('BP1'!G15&gt;0,'BP1'!G15,"")</f>
        <v>9</v>
      </c>
      <c r="H15" s="200">
        <f>'BP1'!H15+'BP2'!H15+'BP3'!H15+'BP4'!H15+'BP5'!H15</f>
        <v>0</v>
      </c>
      <c r="I15" s="200">
        <f>'BP1'!I15+'BP2'!I15+'BP3'!I15+'BP4'!I15+'BP5'!I15</f>
        <v>0</v>
      </c>
      <c r="J15" s="200">
        <f>'BP1'!J15+'BP2'!J15+'BP3'!J15+'BP4'!J15+'BP5'!J15</f>
        <v>0</v>
      </c>
      <c r="K15" s="142">
        <f ca="1">'BP1'!K15+'BP2'!K15+'BP3'!K15+'BP4'!K15+'BP5'!K15</f>
        <v>0</v>
      </c>
      <c r="L15" s="141">
        <f ca="1">'BP1'!L15+'BP2'!L15+'BP3'!L15+'BP4'!L15+'BP5'!L15</f>
        <v>0</v>
      </c>
      <c r="M15" s="234">
        <f>'BP1'!M15+'BP2'!M15+'BP3'!M15+'BP4'!M15+'BP5'!M15</f>
        <v>0</v>
      </c>
      <c r="N15" s="140">
        <f ca="1">'BP1'!N15+'BP2'!N15+'BP3'!N15+'BP4'!N15+'BP5'!N15</f>
        <v>0</v>
      </c>
      <c r="O15" s="141">
        <f ca="1">'BP1'!O15+'BP2'!O15+'BP3'!O15+'BP4'!O15+'BP5'!O15</f>
        <v>0</v>
      </c>
      <c r="P15" s="327"/>
      <c r="Q15" s="327"/>
      <c r="R15" s="117" t="s">
        <v>219</v>
      </c>
    </row>
    <row r="16" spans="1:18" s="7" customFormat="1" ht="14.25" customHeight="1">
      <c r="A16" s="184">
        <v>2</v>
      </c>
      <c r="B16" s="830" t="str">
        <f>IF('BP1'!B16&gt;0,'BP1'!B16,"")</f>
        <v/>
      </c>
      <c r="C16" s="831"/>
      <c r="D16" s="831"/>
      <c r="E16" s="831"/>
      <c r="F16" s="832"/>
      <c r="G16" s="229" t="str">
        <f>IF('BP1'!G16&gt;0,'BP1'!G16,"")</f>
        <v/>
      </c>
      <c r="H16" s="200">
        <f>'BP1'!H16+'BP2'!H16+'BP3'!H16+'BP4'!H16+'BP5'!H16</f>
        <v>0</v>
      </c>
      <c r="I16" s="200">
        <f>'BP1'!I16+'BP2'!I16+'BP3'!I16+'BP4'!I16+'BP5'!I16</f>
        <v>0</v>
      </c>
      <c r="J16" s="200">
        <f>'BP1'!J16+'BP2'!J16+'BP3'!J16+'BP4'!J16+'BP5'!J16</f>
        <v>0</v>
      </c>
      <c r="K16" s="142">
        <f ca="1">'BP1'!K16+'BP2'!K16+'BP3'!K16+'BP4'!K16+'BP5'!K16</f>
        <v>0</v>
      </c>
      <c r="L16" s="141">
        <f ca="1">'BP1'!L16+'BP2'!L16+'BP3'!L16+'BP4'!L16+'BP5'!L16</f>
        <v>0</v>
      </c>
      <c r="M16" s="234">
        <f>'BP1'!M16+'BP2'!M16+'BP3'!M16+'BP4'!M16+'BP5'!M16</f>
        <v>0</v>
      </c>
      <c r="N16" s="140">
        <f ca="1">'BP1'!N16+'BP2'!N16+'BP3'!N16+'BP4'!N16+'BP5'!N16</f>
        <v>0</v>
      </c>
      <c r="O16" s="141">
        <f ca="1">'BP1'!O16+'BP2'!O16+'BP3'!O16+'BP4'!O16+'BP5'!O16</f>
        <v>0</v>
      </c>
      <c r="P16" s="327"/>
      <c r="Q16" s="327"/>
      <c r="R16" s="117" t="s">
        <v>219</v>
      </c>
    </row>
    <row r="17" spans="1:18" s="7" customFormat="1" ht="14.25" customHeight="1">
      <c r="A17" s="184">
        <v>3</v>
      </c>
      <c r="B17" s="830" t="str">
        <f>IF('BP1'!B17&gt;0,'BP1'!B17,"")</f>
        <v/>
      </c>
      <c r="C17" s="831"/>
      <c r="D17" s="831"/>
      <c r="E17" s="831"/>
      <c r="F17" s="832"/>
      <c r="G17" s="229" t="str">
        <f>IF('BP1'!G17&gt;0,'BP1'!G17,"")</f>
        <v/>
      </c>
      <c r="H17" s="200">
        <f>'BP1'!H17+'BP2'!H17+'BP3'!H17+'BP4'!H17+'BP5'!H17</f>
        <v>0</v>
      </c>
      <c r="I17" s="200">
        <f>'BP1'!I17+'BP2'!I17+'BP3'!I17+'BP4'!I17+'BP5'!I17</f>
        <v>0</v>
      </c>
      <c r="J17" s="200">
        <f>'BP1'!J17+'BP2'!J17+'BP3'!J17+'BP4'!J17+'BP5'!J17</f>
        <v>0</v>
      </c>
      <c r="K17" s="142">
        <f ca="1">'BP1'!K17+'BP2'!K17+'BP3'!K17+'BP4'!K17+'BP5'!K17</f>
        <v>0</v>
      </c>
      <c r="L17" s="141">
        <f ca="1">'BP1'!L17+'BP2'!L17+'BP3'!L17+'BP4'!L17+'BP5'!L17</f>
        <v>0</v>
      </c>
      <c r="M17" s="234">
        <f>'BP1'!M17+'BP2'!M17+'BP3'!M17+'BP4'!M17+'BP5'!M17</f>
        <v>0</v>
      </c>
      <c r="N17" s="140">
        <f ca="1">'BP1'!N17+'BP2'!N17+'BP3'!N17+'BP4'!N17+'BP5'!N17</f>
        <v>0</v>
      </c>
      <c r="O17" s="141">
        <f ca="1">'BP1'!O17+'BP2'!O17+'BP3'!O17+'BP4'!O17+'BP5'!O17</f>
        <v>0</v>
      </c>
      <c r="P17" s="327"/>
      <c r="Q17" s="327"/>
      <c r="R17" s="117" t="s">
        <v>219</v>
      </c>
    </row>
    <row r="18" spans="1:18" s="7" customFormat="1" ht="14.25" customHeight="1">
      <c r="A18" s="184">
        <v>4</v>
      </c>
      <c r="B18" s="830" t="str">
        <f>IF('BP1'!B18&gt;0,'BP1'!B18,"")</f>
        <v/>
      </c>
      <c r="C18" s="831"/>
      <c r="D18" s="831"/>
      <c r="E18" s="831"/>
      <c r="F18" s="832"/>
      <c r="G18" s="229" t="str">
        <f>IF('BP1'!G18&gt;0,'BP1'!G18,"")</f>
        <v/>
      </c>
      <c r="H18" s="200">
        <f>'BP1'!H18+'BP2'!H18+'BP3'!H18+'BP4'!H18+'BP5'!H18</f>
        <v>0</v>
      </c>
      <c r="I18" s="200">
        <f>'BP1'!I18+'BP2'!I18+'BP3'!I18+'BP4'!I18+'BP5'!I18</f>
        <v>0</v>
      </c>
      <c r="J18" s="200">
        <f>'BP1'!J18+'BP2'!J18+'BP3'!J18+'BP4'!J18+'BP5'!J18</f>
        <v>0</v>
      </c>
      <c r="K18" s="142">
        <f ca="1">'BP1'!K18+'BP2'!K18+'BP3'!K18+'BP4'!K18+'BP5'!K18</f>
        <v>0</v>
      </c>
      <c r="L18" s="141">
        <f ca="1">'BP1'!L18+'BP2'!L18+'BP3'!L18+'BP4'!L18+'BP5'!L18</f>
        <v>0</v>
      </c>
      <c r="M18" s="234">
        <f>'BP1'!M18+'BP2'!M18+'BP3'!M18+'BP4'!M18+'BP5'!M18</f>
        <v>0</v>
      </c>
      <c r="N18" s="140">
        <f ca="1">'BP1'!N18+'BP2'!N18+'BP3'!N18+'BP4'!N18+'BP5'!N18</f>
        <v>0</v>
      </c>
      <c r="O18" s="141">
        <f ca="1">'BP1'!O18+'BP2'!O18+'BP3'!O18+'BP4'!O18+'BP5'!O18</f>
        <v>0</v>
      </c>
      <c r="P18" s="327"/>
      <c r="Q18" s="327"/>
      <c r="R18" s="117" t="s">
        <v>219</v>
      </c>
    </row>
    <row r="19" spans="1:18" s="7" customFormat="1" ht="14.25" customHeight="1">
      <c r="A19" s="184">
        <v>5</v>
      </c>
      <c r="B19" s="830" t="str">
        <f>IF('BP1'!B19&gt;0,'BP1'!B19,"")</f>
        <v/>
      </c>
      <c r="C19" s="831"/>
      <c r="D19" s="831"/>
      <c r="E19" s="831"/>
      <c r="F19" s="832"/>
      <c r="G19" s="229" t="str">
        <f>IF('BP1'!G19&gt;0,'BP1'!G19,"")</f>
        <v/>
      </c>
      <c r="H19" s="200">
        <f>'BP1'!H19+'BP2'!H19+'BP3'!H19+'BP4'!H19+'BP5'!H19</f>
        <v>0</v>
      </c>
      <c r="I19" s="200">
        <f>'BP1'!I19+'BP2'!I19+'BP3'!I19+'BP4'!I19+'BP5'!I19</f>
        <v>0</v>
      </c>
      <c r="J19" s="200">
        <f>'BP1'!J19+'BP2'!J19+'BP3'!J19+'BP4'!J19+'BP5'!J19</f>
        <v>0</v>
      </c>
      <c r="K19" s="142">
        <f ca="1">'BP1'!K19+'BP2'!K19+'BP3'!K19+'BP4'!K19+'BP5'!K19</f>
        <v>0</v>
      </c>
      <c r="L19" s="141">
        <f ca="1">'BP1'!L19+'BP2'!L19+'BP3'!L19+'BP4'!L19+'BP5'!L19</f>
        <v>0</v>
      </c>
      <c r="M19" s="234">
        <f>'BP1'!M19+'BP2'!M19+'BP3'!M19+'BP4'!M19+'BP5'!M19</f>
        <v>0</v>
      </c>
      <c r="N19" s="140">
        <f ca="1">'BP1'!N19+'BP2'!N19+'BP3'!N19+'BP4'!N19+'BP5'!N19</f>
        <v>0</v>
      </c>
      <c r="O19" s="141">
        <f ca="1">'BP1'!O19+'BP2'!O19+'BP3'!O19+'BP4'!O19+'BP5'!O19</f>
        <v>0</v>
      </c>
      <c r="P19" s="327"/>
      <c r="Q19" s="327"/>
      <c r="R19" s="117" t="s">
        <v>219</v>
      </c>
    </row>
    <row r="20" spans="1:18" s="7" customFormat="1" ht="14.25" hidden="1" customHeight="1">
      <c r="A20" s="184">
        <v>6</v>
      </c>
      <c r="B20" s="830" t="str">
        <f>IF('BP1'!B20&gt;0,'BP1'!B20,"")</f>
        <v/>
      </c>
      <c r="C20" s="831"/>
      <c r="D20" s="831"/>
      <c r="E20" s="831"/>
      <c r="F20" s="832"/>
      <c r="G20" s="229" t="str">
        <f>IF('BP1'!G20&gt;0,'BP1'!G20,"")</f>
        <v/>
      </c>
      <c r="H20" s="200">
        <f>'BP1'!H20+'BP2'!H20+'BP3'!H20+'BP4'!H20+'BP5'!H20</f>
        <v>0</v>
      </c>
      <c r="I20" s="200">
        <f>'BP1'!I20+'BP2'!I20+'BP3'!I20+'BP4'!I20+'BP5'!I20</f>
        <v>0</v>
      </c>
      <c r="J20" s="200">
        <f>'BP1'!J20+'BP2'!J20+'BP3'!J20+'BP4'!J20+'BP5'!J20</f>
        <v>0</v>
      </c>
      <c r="K20" s="142">
        <f ca="1">'BP1'!K20+'BP2'!K20+'BP3'!K20+'BP4'!K20+'BP5'!K20</f>
        <v>0</v>
      </c>
      <c r="L20" s="141">
        <f ca="1">'BP1'!L20+'BP2'!L20+'BP3'!L20+'BP4'!L20+'BP5'!L20</f>
        <v>0</v>
      </c>
      <c r="M20" s="234">
        <f>'BP1'!M20+'BP2'!M20+'BP3'!M20+'BP4'!M20+'BP5'!M20</f>
        <v>0</v>
      </c>
      <c r="N20" s="140">
        <f ca="1">'BP1'!N20+'BP2'!N20+'BP3'!N20+'BP4'!N20+'BP5'!N20</f>
        <v>0</v>
      </c>
      <c r="O20" s="141">
        <f ca="1">'BP1'!O20+'BP2'!O20+'BP3'!O20+'BP4'!O20+'BP5'!O20</f>
        <v>0</v>
      </c>
      <c r="P20" s="327"/>
      <c r="Q20" s="327"/>
      <c r="R20" s="117" t="s">
        <v>485</v>
      </c>
    </row>
    <row r="21" spans="1:18" s="7" customFormat="1" ht="14.25" hidden="1" customHeight="1">
      <c r="A21" s="184">
        <v>7</v>
      </c>
      <c r="B21" s="830" t="str">
        <f>IF('BP1'!B21&gt;0,'BP1'!B21,"")</f>
        <v/>
      </c>
      <c r="C21" s="831"/>
      <c r="D21" s="831"/>
      <c r="E21" s="831"/>
      <c r="F21" s="832"/>
      <c r="G21" s="229" t="str">
        <f>IF('BP1'!G21&gt;0,'BP1'!G21,"")</f>
        <v/>
      </c>
      <c r="H21" s="200">
        <f>'BP1'!H21+'BP2'!H21+'BP3'!H21+'BP4'!H21+'BP5'!H21</f>
        <v>0</v>
      </c>
      <c r="I21" s="200">
        <f>'BP1'!I21+'BP2'!I21+'BP3'!I21+'BP4'!I21+'BP5'!I21</f>
        <v>0</v>
      </c>
      <c r="J21" s="200">
        <f>'BP1'!J21+'BP2'!J21+'BP3'!J21+'BP4'!J21+'BP5'!J21</f>
        <v>0</v>
      </c>
      <c r="K21" s="142">
        <f ca="1">'BP1'!K21+'BP2'!K21+'BP3'!K21+'BP4'!K21+'BP5'!K21</f>
        <v>0</v>
      </c>
      <c r="L21" s="141">
        <f ca="1">'BP1'!L21+'BP2'!L21+'BP3'!L21+'BP4'!L21+'BP5'!L21</f>
        <v>0</v>
      </c>
      <c r="M21" s="234">
        <f>'BP1'!M21+'BP2'!M21+'BP3'!M21+'BP4'!M21+'BP5'!M21</f>
        <v>0</v>
      </c>
      <c r="N21" s="140">
        <f ca="1">'BP1'!N21+'BP2'!N21+'BP3'!N21+'BP4'!N21+'BP5'!N21</f>
        <v>0</v>
      </c>
      <c r="O21" s="141">
        <f ca="1">'BP1'!O21+'BP2'!O21+'BP3'!O21+'BP4'!O21+'BP5'!O21</f>
        <v>0</v>
      </c>
      <c r="P21" s="327"/>
      <c r="Q21" s="327"/>
      <c r="R21" s="117" t="s">
        <v>485</v>
      </c>
    </row>
    <row r="22" spans="1:18" s="7" customFormat="1" ht="14.25" hidden="1" customHeight="1">
      <c r="A22" s="184">
        <v>8</v>
      </c>
      <c r="B22" s="830" t="str">
        <f>IF('BP1'!B22&gt;0,'BP1'!B22,"")</f>
        <v/>
      </c>
      <c r="C22" s="831"/>
      <c r="D22" s="831"/>
      <c r="E22" s="831"/>
      <c r="F22" s="832"/>
      <c r="G22" s="229" t="str">
        <f>IF('BP1'!G22&gt;0,'BP1'!G22,"")</f>
        <v/>
      </c>
      <c r="H22" s="200">
        <f>'BP1'!H22+'BP2'!H22+'BP3'!H22+'BP4'!H22+'BP5'!H22</f>
        <v>0</v>
      </c>
      <c r="I22" s="200">
        <f>'BP1'!I22+'BP2'!I22+'BP3'!I22+'BP4'!I22+'BP5'!I22</f>
        <v>0</v>
      </c>
      <c r="J22" s="200">
        <f>'BP1'!J22+'BP2'!J22+'BP3'!J22+'BP4'!J22+'BP5'!J22</f>
        <v>0</v>
      </c>
      <c r="K22" s="142">
        <f ca="1">'BP1'!K22+'BP2'!K22+'BP3'!K22+'BP4'!K22+'BP5'!K22</f>
        <v>0</v>
      </c>
      <c r="L22" s="141">
        <f ca="1">'BP1'!L22+'BP2'!L22+'BP3'!L22+'BP4'!L22+'BP5'!L22</f>
        <v>0</v>
      </c>
      <c r="M22" s="234">
        <f>'BP1'!M22+'BP2'!M22+'BP3'!M22+'BP4'!M22+'BP5'!M22</f>
        <v>0</v>
      </c>
      <c r="N22" s="140">
        <f ca="1">'BP1'!N22+'BP2'!N22+'BP3'!N22+'BP4'!N22+'BP5'!N22</f>
        <v>0</v>
      </c>
      <c r="O22" s="141">
        <f ca="1">'BP1'!O22+'BP2'!O22+'BP3'!O22+'BP4'!O22+'BP5'!O22</f>
        <v>0</v>
      </c>
      <c r="P22" s="327"/>
      <c r="Q22" s="327"/>
      <c r="R22" s="117" t="s">
        <v>485</v>
      </c>
    </row>
    <row r="23" spans="1:18" s="7" customFormat="1" ht="14.25" hidden="1" customHeight="1">
      <c r="A23" s="184">
        <v>9</v>
      </c>
      <c r="B23" s="830" t="str">
        <f>IF('BP1'!B23&gt;0,'BP1'!B23,"")</f>
        <v/>
      </c>
      <c r="C23" s="831"/>
      <c r="D23" s="831"/>
      <c r="E23" s="831"/>
      <c r="F23" s="832"/>
      <c r="G23" s="229" t="str">
        <f>IF('BP1'!G23&gt;0,'BP1'!G23,"")</f>
        <v/>
      </c>
      <c r="H23" s="200">
        <f>'BP1'!H23+'BP2'!H23+'BP3'!H23+'BP4'!H23+'BP5'!H23</f>
        <v>0</v>
      </c>
      <c r="I23" s="200">
        <f>'BP1'!I23+'BP2'!I23+'BP3'!I23+'BP4'!I23+'BP5'!I23</f>
        <v>0</v>
      </c>
      <c r="J23" s="200">
        <f>'BP1'!J23+'BP2'!J23+'BP3'!J23+'BP4'!J23+'BP5'!J23</f>
        <v>0</v>
      </c>
      <c r="K23" s="142">
        <f ca="1">'BP1'!K23+'BP2'!K23+'BP3'!K23+'BP4'!K23+'BP5'!K23</f>
        <v>0</v>
      </c>
      <c r="L23" s="141">
        <f ca="1">'BP1'!L23+'BP2'!L23+'BP3'!L23+'BP4'!L23+'BP5'!L23</f>
        <v>0</v>
      </c>
      <c r="M23" s="234">
        <f>'BP1'!M23+'BP2'!M23+'BP3'!M23+'BP4'!M23+'BP5'!M23</f>
        <v>0</v>
      </c>
      <c r="N23" s="140">
        <f ca="1">'BP1'!N23+'BP2'!N23+'BP3'!N23+'BP4'!N23+'BP5'!N23</f>
        <v>0</v>
      </c>
      <c r="O23" s="141">
        <f ca="1">'BP1'!O23+'BP2'!O23+'BP3'!O23+'BP4'!O23+'BP5'!O23</f>
        <v>0</v>
      </c>
      <c r="P23" s="327"/>
      <c r="Q23" s="327"/>
      <c r="R23" s="117" t="s">
        <v>485</v>
      </c>
    </row>
    <row r="24" spans="1:18" s="7" customFormat="1" ht="14.25" hidden="1" customHeight="1">
      <c r="A24" s="184">
        <v>10</v>
      </c>
      <c r="B24" s="830" t="str">
        <f>IF('BP1'!B24&gt;0,'BP1'!B24,"")</f>
        <v/>
      </c>
      <c r="C24" s="831"/>
      <c r="D24" s="831"/>
      <c r="E24" s="831"/>
      <c r="F24" s="832"/>
      <c r="G24" s="229" t="str">
        <f>IF('BP1'!G24&gt;0,'BP1'!G24,"")</f>
        <v/>
      </c>
      <c r="H24" s="200">
        <f>'BP1'!H24+'BP2'!H24+'BP3'!H24+'BP4'!H24+'BP5'!H24</f>
        <v>0</v>
      </c>
      <c r="I24" s="200">
        <f>'BP1'!I24+'BP2'!I24+'BP3'!I24+'BP4'!I24+'BP5'!I24</f>
        <v>0</v>
      </c>
      <c r="J24" s="200">
        <f>'BP1'!J24+'BP2'!J24+'BP3'!J24+'BP4'!J24+'BP5'!J24</f>
        <v>0</v>
      </c>
      <c r="K24" s="142">
        <f ca="1">'BP1'!K24+'BP2'!K24+'BP3'!K24+'BP4'!K24+'BP5'!K24</f>
        <v>0</v>
      </c>
      <c r="L24" s="141">
        <f ca="1">'BP1'!L24+'BP2'!L24+'BP3'!L24+'BP4'!L24+'BP5'!L24</f>
        <v>0</v>
      </c>
      <c r="M24" s="234">
        <f>'BP1'!M24+'BP2'!M24+'BP3'!M24+'BP4'!M24+'BP5'!M24</f>
        <v>0</v>
      </c>
      <c r="N24" s="140">
        <f ca="1">'BP1'!N24+'BP2'!N24+'BP3'!N24+'BP4'!N24+'BP5'!N24</f>
        <v>0</v>
      </c>
      <c r="O24" s="141">
        <f ca="1">'BP1'!O24+'BP2'!O24+'BP3'!O24+'BP4'!O24+'BP5'!O24</f>
        <v>0</v>
      </c>
      <c r="P24" s="327"/>
      <c r="Q24" s="327"/>
      <c r="R24" s="117" t="s">
        <v>485</v>
      </c>
    </row>
    <row r="25" spans="1:18" s="7" customFormat="1" ht="14.25" hidden="1" customHeight="1">
      <c r="A25" s="184">
        <v>11</v>
      </c>
      <c r="B25" s="830" t="str">
        <f>IF('BP1'!B25&gt;0,'BP1'!B25,"")</f>
        <v/>
      </c>
      <c r="C25" s="831"/>
      <c r="D25" s="831"/>
      <c r="E25" s="831"/>
      <c r="F25" s="832"/>
      <c r="G25" s="229" t="str">
        <f>IF('BP1'!G25&gt;0,'BP1'!G25,"")</f>
        <v/>
      </c>
      <c r="H25" s="200">
        <f>'BP1'!H25+'BP2'!H25+'BP3'!H25+'BP4'!H25+'BP5'!H25</f>
        <v>0</v>
      </c>
      <c r="I25" s="200">
        <f>'BP1'!I25+'BP2'!I25+'BP3'!I25+'BP4'!I25+'BP5'!I25</f>
        <v>0</v>
      </c>
      <c r="J25" s="200">
        <f>'BP1'!J25+'BP2'!J25+'BP3'!J25+'BP4'!J25+'BP5'!J25</f>
        <v>0</v>
      </c>
      <c r="K25" s="142">
        <f ca="1">'BP1'!K25+'BP2'!K25+'BP3'!K25+'BP4'!K25+'BP5'!K25</f>
        <v>0</v>
      </c>
      <c r="L25" s="141">
        <f ca="1">'BP1'!L25+'BP2'!L25+'BP3'!L25+'BP4'!L25+'BP5'!L25</f>
        <v>0</v>
      </c>
      <c r="M25" s="234">
        <f>'BP1'!M25+'BP2'!M25+'BP3'!M25+'BP4'!M25+'BP5'!M25</f>
        <v>0</v>
      </c>
      <c r="N25" s="140">
        <f ca="1">'BP1'!N25+'BP2'!N25+'BP3'!N25+'BP4'!N25+'BP5'!N25</f>
        <v>0</v>
      </c>
      <c r="O25" s="141">
        <f ca="1">'BP1'!O25+'BP2'!O25+'BP3'!O25+'BP4'!O25+'BP5'!O25</f>
        <v>0</v>
      </c>
      <c r="P25" s="327"/>
      <c r="Q25" s="327"/>
      <c r="R25" s="117" t="s">
        <v>486</v>
      </c>
    </row>
    <row r="26" spans="1:18" s="7" customFormat="1" ht="14.25" hidden="1" customHeight="1">
      <c r="A26" s="184">
        <v>12</v>
      </c>
      <c r="B26" s="830" t="str">
        <f>IF('BP1'!B26&gt;0,'BP1'!B26,"")</f>
        <v/>
      </c>
      <c r="C26" s="831"/>
      <c r="D26" s="831"/>
      <c r="E26" s="831"/>
      <c r="F26" s="832"/>
      <c r="G26" s="229" t="str">
        <f>IF('BP1'!G26&gt;0,'BP1'!G26,"")</f>
        <v/>
      </c>
      <c r="H26" s="200">
        <f>'BP1'!H26+'BP2'!H26+'BP3'!H26+'BP4'!H26+'BP5'!H26</f>
        <v>0</v>
      </c>
      <c r="I26" s="200">
        <f>'BP1'!I26+'BP2'!I26+'BP3'!I26+'BP4'!I26+'BP5'!I26</f>
        <v>0</v>
      </c>
      <c r="J26" s="200">
        <f>'BP1'!J26+'BP2'!J26+'BP3'!J26+'BP4'!J26+'BP5'!J26</f>
        <v>0</v>
      </c>
      <c r="K26" s="142">
        <f ca="1">'BP1'!K26+'BP2'!K26+'BP3'!K26+'BP4'!K26+'BP5'!K26</f>
        <v>0</v>
      </c>
      <c r="L26" s="141">
        <f ca="1">'BP1'!L26+'BP2'!L26+'BP3'!L26+'BP4'!L26+'BP5'!L26</f>
        <v>0</v>
      </c>
      <c r="M26" s="234">
        <f>'BP1'!M26+'BP2'!M26+'BP3'!M26+'BP4'!M26+'BP5'!M26</f>
        <v>0</v>
      </c>
      <c r="N26" s="140">
        <f ca="1">'BP1'!N26+'BP2'!N26+'BP3'!N26+'BP4'!N26+'BP5'!N26</f>
        <v>0</v>
      </c>
      <c r="O26" s="141">
        <f ca="1">'BP1'!O26+'BP2'!O26+'BP3'!O26+'BP4'!O26+'BP5'!O26</f>
        <v>0</v>
      </c>
      <c r="P26" s="327"/>
      <c r="Q26" s="327"/>
      <c r="R26" s="117" t="s">
        <v>486</v>
      </c>
    </row>
    <row r="27" spans="1:18" s="7" customFormat="1" ht="14.25" hidden="1" customHeight="1">
      <c r="A27" s="184">
        <v>13</v>
      </c>
      <c r="B27" s="830" t="str">
        <f>IF('BP1'!B27&gt;0,'BP1'!B27,"")</f>
        <v/>
      </c>
      <c r="C27" s="831"/>
      <c r="D27" s="831"/>
      <c r="E27" s="831"/>
      <c r="F27" s="832"/>
      <c r="G27" s="229" t="str">
        <f>IF('BP1'!G27&gt;0,'BP1'!G27,"")</f>
        <v/>
      </c>
      <c r="H27" s="200">
        <f>'BP1'!H27+'BP2'!H27+'BP3'!H27+'BP4'!H27+'BP5'!H27</f>
        <v>0</v>
      </c>
      <c r="I27" s="200">
        <f>'BP1'!I27+'BP2'!I27+'BP3'!I27+'BP4'!I27+'BP5'!I27</f>
        <v>0</v>
      </c>
      <c r="J27" s="200">
        <f>'BP1'!J27+'BP2'!J27+'BP3'!J27+'BP4'!J27+'BP5'!J27</f>
        <v>0</v>
      </c>
      <c r="K27" s="142">
        <f ca="1">'BP1'!K27+'BP2'!K27+'BP3'!K27+'BP4'!K27+'BP5'!K27</f>
        <v>0</v>
      </c>
      <c r="L27" s="141">
        <f ca="1">'BP1'!L27+'BP2'!L27+'BP3'!L27+'BP4'!L27+'BP5'!L27</f>
        <v>0</v>
      </c>
      <c r="M27" s="234">
        <f>'BP1'!M27+'BP2'!M27+'BP3'!M27+'BP4'!M27+'BP5'!M27</f>
        <v>0</v>
      </c>
      <c r="N27" s="140">
        <f ca="1">'BP1'!N27+'BP2'!N27+'BP3'!N27+'BP4'!N27+'BP5'!N27</f>
        <v>0</v>
      </c>
      <c r="O27" s="141">
        <f ca="1">'BP1'!O27+'BP2'!O27+'BP3'!O27+'BP4'!O27+'BP5'!O27</f>
        <v>0</v>
      </c>
      <c r="P27" s="327"/>
      <c r="Q27" s="327"/>
      <c r="R27" s="117" t="s">
        <v>486</v>
      </c>
    </row>
    <row r="28" spans="1:18" s="7" customFormat="1" ht="14.25" hidden="1" customHeight="1">
      <c r="A28" s="184">
        <v>14</v>
      </c>
      <c r="B28" s="830" t="str">
        <f>IF('BP1'!B28&gt;0,'BP1'!B28,"")</f>
        <v/>
      </c>
      <c r="C28" s="831"/>
      <c r="D28" s="831"/>
      <c r="E28" s="831"/>
      <c r="F28" s="832"/>
      <c r="G28" s="229" t="str">
        <f>IF('BP1'!G28&gt;0,'BP1'!G28,"")</f>
        <v/>
      </c>
      <c r="H28" s="200">
        <f>'BP1'!H28+'BP2'!H28+'BP3'!H28+'BP4'!H28+'BP5'!H28</f>
        <v>0</v>
      </c>
      <c r="I28" s="200">
        <f>'BP1'!I28+'BP2'!I28+'BP3'!I28+'BP4'!I28+'BP5'!I28</f>
        <v>0</v>
      </c>
      <c r="J28" s="200">
        <f>'BP1'!J28+'BP2'!J28+'BP3'!J28+'BP4'!J28+'BP5'!J28</f>
        <v>0</v>
      </c>
      <c r="K28" s="142">
        <f ca="1">'BP1'!K28+'BP2'!K28+'BP3'!K28+'BP4'!K28+'BP5'!K28</f>
        <v>0</v>
      </c>
      <c r="L28" s="141">
        <f ca="1">'BP1'!L28+'BP2'!L28+'BP3'!L28+'BP4'!L28+'BP5'!L28</f>
        <v>0</v>
      </c>
      <c r="M28" s="234">
        <f>'BP1'!M28+'BP2'!M28+'BP3'!M28+'BP4'!M28+'BP5'!M28</f>
        <v>0</v>
      </c>
      <c r="N28" s="140">
        <f ca="1">'BP1'!N28+'BP2'!N28+'BP3'!N28+'BP4'!N28+'BP5'!N28</f>
        <v>0</v>
      </c>
      <c r="O28" s="141">
        <f ca="1">'BP1'!O28+'BP2'!O28+'BP3'!O28+'BP4'!O28+'BP5'!O28</f>
        <v>0</v>
      </c>
      <c r="P28" s="327"/>
      <c r="Q28" s="327"/>
      <c r="R28" s="117" t="s">
        <v>486</v>
      </c>
    </row>
    <row r="29" spans="1:18" s="7" customFormat="1" ht="14.25" hidden="1" customHeight="1">
      <c r="A29" s="184">
        <v>15</v>
      </c>
      <c r="B29" s="830" t="str">
        <f>IF('BP1'!B29&gt;0,'BP1'!B29,"")</f>
        <v/>
      </c>
      <c r="C29" s="831"/>
      <c r="D29" s="831"/>
      <c r="E29" s="831"/>
      <c r="F29" s="832"/>
      <c r="G29" s="229" t="str">
        <f>IF('BP1'!G29&gt;0,'BP1'!G29,"")</f>
        <v/>
      </c>
      <c r="H29" s="200">
        <f>'BP1'!H29+'BP2'!H29+'BP3'!H29+'BP4'!H29+'BP5'!H29</f>
        <v>0</v>
      </c>
      <c r="I29" s="200">
        <f>'BP1'!I29+'BP2'!I29+'BP3'!I29+'BP4'!I29+'BP5'!I29</f>
        <v>0</v>
      </c>
      <c r="J29" s="200">
        <f>'BP1'!J29+'BP2'!J29+'BP3'!J29+'BP4'!J29+'BP5'!J29</f>
        <v>0</v>
      </c>
      <c r="K29" s="142">
        <f ca="1">'BP1'!K29+'BP2'!K29+'BP3'!K29+'BP4'!K29+'BP5'!K29</f>
        <v>0</v>
      </c>
      <c r="L29" s="141">
        <f ca="1">'BP1'!L29+'BP2'!L29+'BP3'!L29+'BP4'!L29+'BP5'!L29</f>
        <v>0</v>
      </c>
      <c r="M29" s="234">
        <f>'BP1'!M29+'BP2'!M29+'BP3'!M29+'BP4'!M29+'BP5'!M29</f>
        <v>0</v>
      </c>
      <c r="N29" s="140">
        <f ca="1">'BP1'!N29+'BP2'!N29+'BP3'!N29+'BP4'!N29+'BP5'!N29</f>
        <v>0</v>
      </c>
      <c r="O29" s="141">
        <f ca="1">'BP1'!O29+'BP2'!O29+'BP3'!O29+'BP4'!O29+'BP5'!O29</f>
        <v>0</v>
      </c>
      <c r="P29" s="327"/>
      <c r="Q29" s="327"/>
      <c r="R29" s="117" t="s">
        <v>486</v>
      </c>
    </row>
    <row r="30" spans="1:18" s="7" customFormat="1" ht="14.25" customHeight="1">
      <c r="A30" s="742" t="s">
        <v>203</v>
      </c>
      <c r="B30" s="743"/>
      <c r="C30" s="743"/>
      <c r="D30" s="743"/>
      <c r="E30" s="743"/>
      <c r="F30" s="744"/>
      <c r="G30" s="17"/>
      <c r="H30" s="200">
        <f t="shared" ref="H30:N30" si="0">SUM(H15:H29)</f>
        <v>0</v>
      </c>
      <c r="I30" s="200">
        <f t="shared" si="0"/>
        <v>0</v>
      </c>
      <c r="J30" s="200">
        <f t="shared" si="0"/>
        <v>0</v>
      </c>
      <c r="K30" s="142">
        <f t="shared" ca="1" si="0"/>
        <v>0</v>
      </c>
      <c r="L30" s="142">
        <f t="shared" ca="1" si="0"/>
        <v>0</v>
      </c>
      <c r="M30" s="235">
        <f t="shared" si="0"/>
        <v>0</v>
      </c>
      <c r="N30" s="142">
        <f t="shared" ca="1" si="0"/>
        <v>0</v>
      </c>
      <c r="O30" s="141">
        <f ca="1">SUM(O15:O29)</f>
        <v>0</v>
      </c>
      <c r="P30" s="327"/>
      <c r="Q30" s="327"/>
      <c r="R30" s="117" t="s">
        <v>219</v>
      </c>
    </row>
    <row r="31" spans="1:18" s="7" customFormat="1" ht="14.25" customHeight="1">
      <c r="A31" s="185" t="s">
        <v>204</v>
      </c>
      <c r="B31" s="265"/>
      <c r="C31" s="265"/>
      <c r="D31" s="266"/>
      <c r="E31" s="182"/>
      <c r="F31" s="182"/>
      <c r="G31" s="18"/>
      <c r="H31" s="15"/>
      <c r="I31" s="16"/>
      <c r="J31" s="16"/>
      <c r="K31" s="57"/>
      <c r="L31" s="58"/>
      <c r="M31" s="232"/>
      <c r="N31" s="26"/>
      <c r="O31" s="27"/>
      <c r="P31" s="62"/>
      <c r="Q31" s="62"/>
      <c r="R31" s="117" t="s">
        <v>219</v>
      </c>
    </row>
    <row r="32" spans="1:18" s="7" customFormat="1" ht="14.25" customHeight="1">
      <c r="A32" s="185" t="s">
        <v>3</v>
      </c>
      <c r="B32" s="228">
        <f>'BP1'!B32+'BP2'!B32+'BP3'!B32+'BP4'!B32+'BP5'!B32</f>
        <v>0</v>
      </c>
      <c r="C32" s="180" t="s">
        <v>457</v>
      </c>
      <c r="D32" s="182" t="str">
        <f>"Postdoctoral Associate"&amp;IF(B32&gt;0,"s",)</f>
        <v>Postdoctoral Associate</v>
      </c>
      <c r="E32" s="182"/>
      <c r="F32" s="182"/>
      <c r="G32" s="203" t="s">
        <v>465</v>
      </c>
      <c r="H32" s="200">
        <f>'BP1'!H32+'BP2'!H32+'BP3'!H32+'BP4'!H32+'BP5'!H32</f>
        <v>0</v>
      </c>
      <c r="I32" s="199"/>
      <c r="J32" s="199"/>
      <c r="K32" s="142">
        <f ca="1">'BP1'!K32+'BP2'!K32+'BP3'!K32+'BP4'!K32+'BP5'!K32</f>
        <v>0</v>
      </c>
      <c r="L32" s="141">
        <f>'BP1'!L32+'BP2'!L32+'BP3'!L32+'BP4'!L32+'BP5'!L32</f>
        <v>0</v>
      </c>
      <c r="M32" s="234">
        <f>'BP1'!M32+'BP2'!M32+'BP3'!M32+'BP4'!M32+'BP5'!M32</f>
        <v>0</v>
      </c>
      <c r="N32" s="140">
        <f ca="1">'BP1'!N32+'BP2'!N32+'BP3'!N32+'BP4'!N32+'BP5'!N32</f>
        <v>0</v>
      </c>
      <c r="O32" s="141">
        <f ca="1">'BP1'!O32+'BP2'!O32+'BP3'!O32+'BP4'!O32+'BP5'!O32</f>
        <v>0</v>
      </c>
      <c r="P32" s="327"/>
      <c r="Q32" s="327"/>
      <c r="R32" s="117" t="s">
        <v>219</v>
      </c>
    </row>
    <row r="33" spans="1:18" s="7" customFormat="1" ht="14.25" customHeight="1">
      <c r="A33" s="185" t="s">
        <v>488</v>
      </c>
      <c r="B33" s="228">
        <f>'BP1'!B33+'BP2'!B33+'BP3'!B33+'BP4'!B33+'BP5'!B33</f>
        <v>0</v>
      </c>
      <c r="C33" s="180" t="s">
        <v>457</v>
      </c>
      <c r="D33" s="182" t="str">
        <f>'BP1'!D33</f>
        <v>Other Professional</v>
      </c>
      <c r="E33" s="182"/>
      <c r="F33" s="182"/>
      <c r="G33" s="204" t="s">
        <v>465</v>
      </c>
      <c r="H33" s="200">
        <f>'BP1'!H33+'BP2'!H33+'BP3'!H33+'BP4'!H33+'BP5'!H33</f>
        <v>0</v>
      </c>
      <c r="I33" s="199"/>
      <c r="J33" s="199"/>
      <c r="K33" s="142">
        <f ca="1">'BP1'!K33+'BP2'!K33+'BP3'!K33+'BP4'!K33+'BP5'!K33</f>
        <v>0</v>
      </c>
      <c r="L33" s="141">
        <f>'BP1'!L33+'BP2'!L33+'BP3'!L33+'BP4'!L33+'BP5'!L33</f>
        <v>0</v>
      </c>
      <c r="M33" s="234">
        <f>'BP1'!M33+'BP2'!M33+'BP3'!M33+'BP4'!M33+'BP5'!M33</f>
        <v>0</v>
      </c>
      <c r="N33" s="140">
        <f ca="1">'BP1'!N33+'BP2'!N33+'BP3'!N33+'BP4'!N33+'BP5'!N33</f>
        <v>0</v>
      </c>
      <c r="O33" s="141">
        <f ca="1">'BP1'!O33+'BP2'!O33+'BP3'!O33+'BP4'!O33+'BP5'!O33</f>
        <v>0</v>
      </c>
      <c r="P33" s="327"/>
      <c r="Q33" s="327"/>
      <c r="R33" s="117" t="s">
        <v>219</v>
      </c>
    </row>
    <row r="34" spans="1:18" s="7" customFormat="1" ht="14.25" hidden="1" customHeight="1">
      <c r="A34" s="185" t="s">
        <v>489</v>
      </c>
      <c r="B34" s="228">
        <f>'BP1'!B34+'BP2'!B34+'BP3'!B34+'BP4'!B34+'BP5'!B34</f>
        <v>0</v>
      </c>
      <c r="C34" s="180" t="s">
        <v>457</v>
      </c>
      <c r="D34" s="182" t="str">
        <f>'BP1'!D34</f>
        <v>Other Professional</v>
      </c>
      <c r="E34" s="182"/>
      <c r="F34" s="182"/>
      <c r="G34" s="204" t="s">
        <v>465</v>
      </c>
      <c r="H34" s="200">
        <f>'BP1'!H34+'BP2'!H34+'BP3'!H34+'BP4'!H34+'BP5'!H34</f>
        <v>0</v>
      </c>
      <c r="I34" s="199"/>
      <c r="J34" s="199"/>
      <c r="K34" s="142">
        <f ca="1">'BP1'!K34+'BP2'!K34+'BP3'!K34+'BP4'!K34+'BP5'!K34</f>
        <v>0</v>
      </c>
      <c r="L34" s="141">
        <f>'BP1'!L34+'BP2'!L34+'BP3'!L34+'BP4'!L34+'BP5'!L34</f>
        <v>0</v>
      </c>
      <c r="M34" s="234">
        <f>'BP1'!M34+'BP2'!M34+'BP3'!M34+'BP4'!M34+'BP5'!M34</f>
        <v>0</v>
      </c>
      <c r="N34" s="140">
        <f ca="1">'BP1'!N34+'BP2'!N34+'BP3'!N34+'BP4'!N34+'BP5'!N34</f>
        <v>0</v>
      </c>
      <c r="O34" s="141">
        <f ca="1">'BP1'!O34+'BP2'!O34+'BP3'!O34+'BP4'!O34+'BP5'!O34</f>
        <v>0</v>
      </c>
      <c r="P34" s="327"/>
      <c r="Q34" s="327"/>
      <c r="R34" s="117" t="s">
        <v>493</v>
      </c>
    </row>
    <row r="35" spans="1:18" s="7" customFormat="1" ht="14.25" hidden="1" customHeight="1">
      <c r="A35" s="185" t="s">
        <v>490</v>
      </c>
      <c r="B35" s="228">
        <f>'BP1'!B35+'BP2'!B35+'BP3'!B35+'BP4'!B35+'BP5'!B35</f>
        <v>0</v>
      </c>
      <c r="C35" s="180" t="s">
        <v>457</v>
      </c>
      <c r="D35" s="182" t="str">
        <f>'BP1'!D35</f>
        <v>Other Professional</v>
      </c>
      <c r="E35" s="182"/>
      <c r="F35" s="182"/>
      <c r="G35" s="204" t="s">
        <v>465</v>
      </c>
      <c r="H35" s="200">
        <f>'BP1'!H35+'BP2'!H35+'BP3'!H35+'BP4'!H35+'BP5'!H35</f>
        <v>0</v>
      </c>
      <c r="I35" s="199"/>
      <c r="J35" s="199"/>
      <c r="K35" s="142">
        <f ca="1">'BP1'!K35+'BP2'!K35+'BP3'!K35+'BP4'!K35+'BP5'!K35</f>
        <v>0</v>
      </c>
      <c r="L35" s="141">
        <f>'BP1'!L35+'BP2'!L35+'BP3'!L35+'BP4'!L35+'BP5'!L35</f>
        <v>0</v>
      </c>
      <c r="M35" s="234">
        <f>'BP1'!M35+'BP2'!M35+'BP3'!M35+'BP4'!M35+'BP5'!M35</f>
        <v>0</v>
      </c>
      <c r="N35" s="140">
        <f ca="1">'BP1'!N35+'BP2'!N35+'BP3'!N35+'BP4'!N35+'BP5'!N35</f>
        <v>0</v>
      </c>
      <c r="O35" s="141">
        <f ca="1">'BP1'!O35+'BP2'!O35+'BP3'!O35+'BP4'!O35+'BP5'!O35</f>
        <v>0</v>
      </c>
      <c r="P35" s="327"/>
      <c r="Q35" s="327"/>
      <c r="R35" s="117" t="s">
        <v>493</v>
      </c>
    </row>
    <row r="36" spans="1:18" s="7" customFormat="1" ht="14.25" hidden="1" customHeight="1">
      <c r="A36" s="185" t="s">
        <v>491</v>
      </c>
      <c r="B36" s="228">
        <f>'BP1'!B36+'BP2'!B36+'BP3'!B36+'BP4'!B36+'BP5'!B36</f>
        <v>0</v>
      </c>
      <c r="C36" s="180" t="s">
        <v>457</v>
      </c>
      <c r="D36" s="182" t="str">
        <f>'BP1'!D36</f>
        <v>Other Professional</v>
      </c>
      <c r="E36" s="182"/>
      <c r="F36" s="182"/>
      <c r="G36" s="204" t="s">
        <v>465</v>
      </c>
      <c r="H36" s="200">
        <f>'BP1'!H36+'BP2'!H36+'BP3'!H36+'BP4'!H36+'BP5'!H36</f>
        <v>0</v>
      </c>
      <c r="I36" s="199"/>
      <c r="J36" s="199"/>
      <c r="K36" s="142">
        <f ca="1">'BP1'!K36+'BP2'!K36+'BP3'!K36+'BP4'!K36+'BP5'!K36</f>
        <v>0</v>
      </c>
      <c r="L36" s="141">
        <f>'BP1'!L36+'BP2'!L36+'BP3'!L36+'BP4'!L36+'BP5'!L36</f>
        <v>0</v>
      </c>
      <c r="M36" s="234">
        <f>'BP1'!M36+'BP2'!M36+'BP3'!M36+'BP4'!M36+'BP5'!M36</f>
        <v>0</v>
      </c>
      <c r="N36" s="140">
        <f ca="1">'BP1'!N36+'BP2'!N36+'BP3'!N36+'BP4'!N36+'BP5'!N36</f>
        <v>0</v>
      </c>
      <c r="O36" s="141">
        <f ca="1">'BP1'!O36+'BP2'!O36+'BP3'!O36+'BP4'!O36+'BP5'!O36</f>
        <v>0</v>
      </c>
      <c r="P36" s="327"/>
      <c r="Q36" s="327"/>
      <c r="R36" s="117" t="s">
        <v>493</v>
      </c>
    </row>
    <row r="37" spans="1:18" s="7" customFormat="1" ht="14.25" hidden="1" customHeight="1">
      <c r="A37" s="185" t="s">
        <v>492</v>
      </c>
      <c r="B37" s="228">
        <f>'BP1'!B37+'BP2'!B37+'BP3'!B37+'BP4'!B37+'BP5'!B37</f>
        <v>0</v>
      </c>
      <c r="C37" s="180" t="s">
        <v>457</v>
      </c>
      <c r="D37" s="182" t="str">
        <f>'BP1'!D37</f>
        <v>Other Professional</v>
      </c>
      <c r="E37" s="182"/>
      <c r="F37" s="182"/>
      <c r="G37" s="204" t="s">
        <v>465</v>
      </c>
      <c r="H37" s="200">
        <f>'BP1'!H37+'BP2'!H37+'BP3'!H37+'BP4'!H37+'BP5'!H37</f>
        <v>0</v>
      </c>
      <c r="I37" s="199"/>
      <c r="J37" s="199"/>
      <c r="K37" s="142">
        <f ca="1">'BP1'!K37+'BP2'!K37+'BP3'!K37+'BP4'!K37+'BP5'!K37</f>
        <v>0</v>
      </c>
      <c r="L37" s="141">
        <f>'BP1'!L37+'BP2'!L37+'BP3'!L37+'BP4'!L37+'BP5'!L37</f>
        <v>0</v>
      </c>
      <c r="M37" s="234">
        <f>'BP1'!M37+'BP2'!M37+'BP3'!M37+'BP4'!M37+'BP5'!M37</f>
        <v>0</v>
      </c>
      <c r="N37" s="140">
        <f ca="1">'BP1'!N37+'BP2'!N37+'BP3'!N37+'BP4'!N37+'BP5'!N37</f>
        <v>0</v>
      </c>
      <c r="O37" s="141">
        <f ca="1">'BP1'!O37+'BP2'!O37+'BP3'!O37+'BP4'!O37+'BP5'!O37</f>
        <v>0</v>
      </c>
      <c r="P37" s="327"/>
      <c r="Q37" s="327"/>
      <c r="R37" s="117" t="s">
        <v>493</v>
      </c>
    </row>
    <row r="38" spans="1:18" s="7" customFormat="1" ht="14.25" customHeight="1">
      <c r="A38" s="185" t="s">
        <v>4</v>
      </c>
      <c r="B38" s="228">
        <f>'BP1'!B38+'BP2'!B38+'BP3'!B38+'BP4'!B38+'BP5'!B38</f>
        <v>0</v>
      </c>
      <c r="C38" s="180" t="s">
        <v>457</v>
      </c>
      <c r="D38" s="182" t="str">
        <f>"Graduate Student"&amp;IF(B38&gt;0,"s",)</f>
        <v>Graduate Student</v>
      </c>
      <c r="E38" s="182"/>
      <c r="F38" s="182"/>
      <c r="G38" s="204" t="s">
        <v>465</v>
      </c>
      <c r="H38" s="200">
        <f>'BP1'!H38+'BP2'!H38+'BP3'!H38+'BP4'!H38+'BP5'!H38</f>
        <v>0</v>
      </c>
      <c r="I38" s="199"/>
      <c r="J38" s="199"/>
      <c r="K38" s="142">
        <f ca="1">'BP1'!K38+'BP2'!K38+'BP3'!K38+'BP4'!K38+'BP5'!K38</f>
        <v>0</v>
      </c>
      <c r="L38" s="141">
        <f>'BP1'!L38+'BP2'!L38+'BP3'!L38+'BP4'!L38+'BP5'!L38</f>
        <v>0</v>
      </c>
      <c r="M38" s="234">
        <f>'BP1'!M38+'BP2'!M38+'BP3'!M38+'BP4'!M38+'BP5'!M38</f>
        <v>0</v>
      </c>
      <c r="N38" s="140">
        <f ca="1">'BP1'!N38+'BP2'!N38+'BP3'!N38+'BP4'!N38+'BP5'!N38</f>
        <v>0</v>
      </c>
      <c r="O38" s="141">
        <f ca="1">'BP1'!O38+'BP2'!O38+'BP3'!O38+'BP4'!O38+'BP5'!O38</f>
        <v>0</v>
      </c>
      <c r="P38" s="327"/>
      <c r="Q38" s="327"/>
      <c r="R38" s="117" t="s">
        <v>219</v>
      </c>
    </row>
    <row r="39" spans="1:18" s="7" customFormat="1" ht="14.25" customHeight="1">
      <c r="A39" s="185" t="s">
        <v>5</v>
      </c>
      <c r="B39" s="228">
        <f>'BP1'!B39+'BP2'!B39+'BP3'!B39+'BP4'!B39+'BP5'!B39</f>
        <v>0</v>
      </c>
      <c r="C39" s="180" t="s">
        <v>457</v>
      </c>
      <c r="D39" s="182" t="str">
        <f>"Undergraduate Student"&amp;IF(B39&gt;0,"s",)</f>
        <v>Undergraduate Student</v>
      </c>
      <c r="E39" s="182"/>
      <c r="F39" s="182"/>
      <c r="G39" s="204" t="s">
        <v>465</v>
      </c>
      <c r="H39" s="200">
        <f>'BP1'!H39+'BP2'!H39+'BP3'!H39+'BP4'!H39+'BP5'!H39</f>
        <v>0</v>
      </c>
      <c r="I39" s="199"/>
      <c r="J39" s="199"/>
      <c r="K39" s="142">
        <f ca="1">'BP1'!K39+'BP2'!K39+'BP3'!K39+'BP4'!K39+'BP5'!K39</f>
        <v>0</v>
      </c>
      <c r="L39" s="199"/>
      <c r="M39" s="234">
        <f>'BP1'!M39+'BP2'!M39+'BP3'!M39+'BP4'!M39+'BP5'!M39</f>
        <v>0</v>
      </c>
      <c r="N39" s="140">
        <f ca="1">'BP1'!N39+'BP2'!N39+'BP3'!N39+'BP4'!N39+'BP5'!N39</f>
        <v>0</v>
      </c>
      <c r="O39" s="141">
        <f>'BP1'!O39+'BP2'!O39+'BP3'!O39+'BP4'!O39+'BP5'!O39</f>
        <v>0</v>
      </c>
      <c r="P39" s="327"/>
      <c r="Q39" s="327"/>
      <c r="R39" s="117" t="s">
        <v>219</v>
      </c>
    </row>
    <row r="40" spans="1:18" s="7" customFormat="1" ht="14.25" customHeight="1" thickBot="1">
      <c r="A40" s="185" t="s">
        <v>6</v>
      </c>
      <c r="B40" s="228">
        <f>'BP1'!B40+'BP2'!B40+'BP3'!B40+'BP4'!B40+'BP5'!B40</f>
        <v>0</v>
      </c>
      <c r="C40" s="180" t="s">
        <v>457</v>
      </c>
      <c r="D40" s="182" t="str">
        <f>"Other"&amp;IF(B40&gt;0,"s",)&amp;" (Carrying Statutory Benefits)"</f>
        <v>Other (Carrying Statutory Benefits)</v>
      </c>
      <c r="E40" s="182"/>
      <c r="F40" s="182"/>
      <c r="G40" s="204" t="s">
        <v>465</v>
      </c>
      <c r="H40" s="200">
        <f>'BP1'!H40+'BP2'!H40+'BP3'!H40+'BP4'!H40+'BP5'!H40</f>
        <v>0</v>
      </c>
      <c r="I40" s="199"/>
      <c r="J40" s="199"/>
      <c r="K40" s="221">
        <f ca="1">'BP1'!K40+'BP2'!K40+'BP3'!K40+'BP4'!K40+'BP5'!K40</f>
        <v>0</v>
      </c>
      <c r="L40" s="222">
        <f>'BP1'!L40+'BP2'!L40+'BP3'!L40+'BP4'!L40+'BP5'!L40</f>
        <v>0</v>
      </c>
      <c r="M40" s="234">
        <f>'BP1'!M40+'BP2'!M40+'BP3'!M40+'BP4'!M40+'BP5'!M40</f>
        <v>0</v>
      </c>
      <c r="N40" s="140">
        <f ca="1">'BP1'!N40+'BP2'!N40+'BP3'!N40+'BP4'!N40+'BP5'!N40</f>
        <v>0</v>
      </c>
      <c r="O40" s="141">
        <f ca="1">'BP1'!O40+'BP2'!O40+'BP3'!O40+'BP4'!O40+'BP5'!O40</f>
        <v>0</v>
      </c>
      <c r="P40" s="327"/>
      <c r="Q40" s="327"/>
      <c r="R40" s="117" t="s">
        <v>219</v>
      </c>
    </row>
    <row r="41" spans="1:18" s="7" customFormat="1" ht="14.25" customHeight="1" thickBot="1">
      <c r="A41" s="163"/>
      <c r="B41" s="180" t="s">
        <v>90</v>
      </c>
      <c r="C41" s="164"/>
      <c r="D41" s="158"/>
      <c r="E41" s="158"/>
      <c r="F41" s="158"/>
      <c r="G41" s="158"/>
      <c r="H41" s="165"/>
      <c r="I41" s="166"/>
      <c r="J41" s="164"/>
      <c r="K41" s="752">
        <f ca="1">SUM(K30:K40)</f>
        <v>0</v>
      </c>
      <c r="L41" s="753"/>
      <c r="M41" s="231"/>
      <c r="N41" s="767">
        <f ca="1">SUM(N30:N40)</f>
        <v>0</v>
      </c>
      <c r="O41" s="772"/>
      <c r="P41" s="237"/>
      <c r="Q41" s="237"/>
      <c r="R41" s="117" t="s">
        <v>219</v>
      </c>
    </row>
    <row r="42" spans="1:18" s="7" customFormat="1" ht="14.25" customHeight="1" thickBot="1">
      <c r="A42" s="185" t="s">
        <v>91</v>
      </c>
      <c r="B42" s="164"/>
      <c r="C42" s="164"/>
      <c r="D42" s="156"/>
      <c r="E42" s="156"/>
      <c r="F42" s="167"/>
      <c r="G42" s="168"/>
      <c r="H42" s="169"/>
      <c r="I42" s="166"/>
      <c r="J42" s="164"/>
      <c r="K42" s="752">
        <f ca="1">SUM(L30:L40)</f>
        <v>0</v>
      </c>
      <c r="L42" s="753"/>
      <c r="M42" s="231"/>
      <c r="N42" s="767">
        <f ca="1">SUM(O30:O40)</f>
        <v>0</v>
      </c>
      <c r="O42" s="772"/>
      <c r="P42" s="237"/>
      <c r="Q42" s="237"/>
      <c r="R42" s="117" t="s">
        <v>219</v>
      </c>
    </row>
    <row r="43" spans="1:18" s="7" customFormat="1" ht="14.25" customHeight="1" thickBot="1">
      <c r="A43" s="148"/>
      <c r="B43" s="186" t="s">
        <v>206</v>
      </c>
      <c r="C43" s="149"/>
      <c r="D43" s="150"/>
      <c r="E43" s="150"/>
      <c r="F43" s="150"/>
      <c r="G43" s="150"/>
      <c r="H43" s="149"/>
      <c r="I43" s="149"/>
      <c r="J43" s="149"/>
      <c r="K43" s="752">
        <f ca="1">SUM(K41:K42)</f>
        <v>0</v>
      </c>
      <c r="L43" s="753"/>
      <c r="M43" s="231"/>
      <c r="N43" s="767">
        <f ca="1">SUM(N41:N42)</f>
        <v>0</v>
      </c>
      <c r="O43" s="772"/>
      <c r="P43" s="237"/>
      <c r="Q43" s="237"/>
      <c r="R43" s="117" t="s">
        <v>219</v>
      </c>
    </row>
    <row r="44" spans="1:18" s="7" customFormat="1" ht="14.25" customHeight="1" thickBot="1">
      <c r="A44" s="183" t="s">
        <v>207</v>
      </c>
      <c r="B44" s="269"/>
      <c r="C44" s="269"/>
      <c r="D44" s="270"/>
      <c r="E44" s="145"/>
      <c r="F44" s="145"/>
      <c r="G44" s="145"/>
      <c r="H44" s="144"/>
      <c r="I44" s="159"/>
      <c r="J44" s="144"/>
      <c r="K44" s="51"/>
      <c r="L44" s="52"/>
      <c r="M44" s="231"/>
      <c r="N44" s="28"/>
      <c r="O44" s="29"/>
      <c r="P44" s="388"/>
      <c r="Q44" s="388"/>
      <c r="R44" s="117" t="s">
        <v>219</v>
      </c>
    </row>
    <row r="45" spans="1:18" s="7" customFormat="1" ht="14.25" customHeight="1" thickBot="1">
      <c r="A45" s="183"/>
      <c r="B45" s="667">
        <f>'BP1'!B45</f>
        <v>0</v>
      </c>
      <c r="C45" s="668"/>
      <c r="D45" s="668"/>
      <c r="E45" s="668"/>
      <c r="F45" s="669"/>
      <c r="G45" s="160"/>
      <c r="H45" s="160"/>
      <c r="I45" s="187" t="s">
        <v>160</v>
      </c>
      <c r="J45" s="161"/>
      <c r="K45" s="682">
        <f>'BP1'!K45:L45+'BP2'!K45+'BP3'!K45+'BP4'!K45+'BP5'!K45</f>
        <v>0</v>
      </c>
      <c r="L45" s="766"/>
      <c r="M45" s="231"/>
      <c r="N45" s="682">
        <f>'BP1'!N45:O45+'BP2'!N45+'BP3'!N45+'BP4'!N45+'BP5'!N45</f>
        <v>0</v>
      </c>
      <c r="O45" s="766"/>
      <c r="P45" s="383"/>
      <c r="Q45" s="383"/>
      <c r="R45" s="117" t="s">
        <v>219</v>
      </c>
    </row>
    <row r="46" spans="1:18" s="7" customFormat="1" ht="14.25" hidden="1" customHeight="1" thickBot="1">
      <c r="A46" s="183"/>
      <c r="B46" s="667">
        <f>'BP1'!B46</f>
        <v>0</v>
      </c>
      <c r="C46" s="668"/>
      <c r="D46" s="668"/>
      <c r="E46" s="668"/>
      <c r="F46" s="669"/>
      <c r="G46" s="160"/>
      <c r="H46" s="160"/>
      <c r="I46" s="187" t="s">
        <v>161</v>
      </c>
      <c r="J46" s="161"/>
      <c r="K46" s="682">
        <f>'BP1'!K46:L46+'BP2'!K46+'BP3'!K46+'BP4'!K46+'BP5'!K46</f>
        <v>0</v>
      </c>
      <c r="L46" s="766"/>
      <c r="M46" s="231"/>
      <c r="N46" s="682">
        <f>'BP1'!N46:O46+'BP2'!N46+'BP3'!N46+'BP4'!N46+'BP5'!N46</f>
        <v>0</v>
      </c>
      <c r="O46" s="766"/>
      <c r="P46" s="383"/>
      <c r="Q46" s="383"/>
      <c r="R46" s="117" t="s">
        <v>487</v>
      </c>
    </row>
    <row r="47" spans="1:18" s="7" customFormat="1" ht="14.25" hidden="1" customHeight="1" thickBot="1">
      <c r="A47" s="183"/>
      <c r="B47" s="667">
        <f>'BP1'!B47</f>
        <v>0</v>
      </c>
      <c r="C47" s="668"/>
      <c r="D47" s="668"/>
      <c r="E47" s="668"/>
      <c r="F47" s="669"/>
      <c r="G47" s="160"/>
      <c r="H47" s="160"/>
      <c r="I47" s="187" t="s">
        <v>162</v>
      </c>
      <c r="J47" s="161"/>
      <c r="K47" s="682">
        <f>'BP1'!K47:L47+'BP2'!K47+'BP3'!K47+'BP4'!K47+'BP5'!K47</f>
        <v>0</v>
      </c>
      <c r="L47" s="766"/>
      <c r="M47" s="231"/>
      <c r="N47" s="682">
        <f>'BP1'!N47:O47+'BP2'!N47+'BP3'!N47+'BP4'!N47+'BP5'!N47</f>
        <v>0</v>
      </c>
      <c r="O47" s="766"/>
      <c r="P47" s="383"/>
      <c r="Q47" s="383"/>
      <c r="R47" s="117" t="s">
        <v>487</v>
      </c>
    </row>
    <row r="48" spans="1:18" s="7" customFormat="1" ht="14.25" hidden="1" customHeight="1" thickBot="1">
      <c r="A48" s="183"/>
      <c r="B48" s="667">
        <f>'BP1'!B48</f>
        <v>0</v>
      </c>
      <c r="C48" s="668"/>
      <c r="D48" s="668"/>
      <c r="E48" s="668"/>
      <c r="F48" s="669"/>
      <c r="G48" s="160"/>
      <c r="H48" s="160"/>
      <c r="I48" s="187" t="s">
        <v>163</v>
      </c>
      <c r="J48" s="161"/>
      <c r="K48" s="682">
        <f>'BP1'!K48:L48+'BP2'!K48+'BP3'!K48+'BP4'!K48+'BP5'!K48</f>
        <v>0</v>
      </c>
      <c r="L48" s="766"/>
      <c r="M48" s="231"/>
      <c r="N48" s="682">
        <f>'BP1'!N48:O48+'BP2'!N48+'BP3'!N48+'BP4'!N48+'BP5'!N48</f>
        <v>0</v>
      </c>
      <c r="O48" s="766"/>
      <c r="P48" s="383"/>
      <c r="Q48" s="383"/>
      <c r="R48" s="117" t="s">
        <v>487</v>
      </c>
    </row>
    <row r="49" spans="1:18" s="7" customFormat="1" ht="14.25" hidden="1" customHeight="1" thickBot="1">
      <c r="A49" s="183"/>
      <c r="B49" s="667">
        <f>'BP1'!B49</f>
        <v>0</v>
      </c>
      <c r="C49" s="668"/>
      <c r="D49" s="668"/>
      <c r="E49" s="668"/>
      <c r="F49" s="669"/>
      <c r="G49" s="160"/>
      <c r="H49" s="160"/>
      <c r="I49" s="187" t="s">
        <v>164</v>
      </c>
      <c r="J49" s="161"/>
      <c r="K49" s="682">
        <f>'BP1'!K49:L49+'BP2'!K49+'BP3'!K49+'BP4'!K49+'BP5'!K49</f>
        <v>0</v>
      </c>
      <c r="L49" s="766"/>
      <c r="M49" s="231"/>
      <c r="N49" s="682">
        <f>'BP1'!N49:O49+'BP2'!N49+'BP3'!N49+'BP4'!N49+'BP5'!N49</f>
        <v>0</v>
      </c>
      <c r="O49" s="766"/>
      <c r="P49" s="383"/>
      <c r="Q49" s="383"/>
      <c r="R49" s="117" t="s">
        <v>487</v>
      </c>
    </row>
    <row r="50" spans="1:18" s="7" customFormat="1" ht="14.25" customHeight="1" thickBot="1">
      <c r="A50" s="154"/>
      <c r="B50" s="178" t="s">
        <v>208</v>
      </c>
      <c r="C50" s="155"/>
      <c r="D50" s="147"/>
      <c r="E50" s="147"/>
      <c r="F50" s="147"/>
      <c r="G50" s="147"/>
      <c r="H50" s="147"/>
      <c r="I50" s="147"/>
      <c r="J50" s="147"/>
      <c r="K50" s="752">
        <f>'BP1'!K50:L50+'BP2'!K50+'BP3'!K50+'BP4'!K50+'BP5'!K50</f>
        <v>0</v>
      </c>
      <c r="L50" s="753"/>
      <c r="M50" s="231"/>
      <c r="N50" s="798">
        <f>'BP1'!N50+'BP2'!N50+'BP3'!N50+'BP4'!N50+'BP5'!N50</f>
        <v>0</v>
      </c>
      <c r="O50" s="799">
        <f>'BP1'!O45+'BP2'!O45+'BP3'!O45+'BP4'!O45+'BP5'!O45</f>
        <v>0</v>
      </c>
      <c r="P50" s="383"/>
      <c r="Q50" s="383"/>
      <c r="R50" s="117" t="s">
        <v>219</v>
      </c>
    </row>
    <row r="51" spans="1:18" s="7" customFormat="1" ht="14.25" customHeight="1">
      <c r="A51" s="188" t="s">
        <v>209</v>
      </c>
      <c r="B51" s="186"/>
      <c r="C51" s="186"/>
      <c r="D51" s="189"/>
      <c r="E51" s="189"/>
      <c r="F51" s="190"/>
      <c r="G51" s="368" t="s">
        <v>458</v>
      </c>
      <c r="H51" s="758" t="s">
        <v>92</v>
      </c>
      <c r="I51" s="759"/>
      <c r="J51" s="759"/>
      <c r="K51" s="873">
        <f>'BP1'!K51:L51+'BP2'!K51+'BP3'!K51+'BP4'!K51+'BP5'!K51</f>
        <v>0</v>
      </c>
      <c r="L51" s="874"/>
      <c r="M51" s="231"/>
      <c r="N51" s="866">
        <f>'BP1'!N51+'BP2'!N51+'BP3'!N51+'BP4'!N51+'BP5'!N51</f>
        <v>0</v>
      </c>
      <c r="O51" s="867">
        <f>'BP1'!O46+'BP2'!O46+'BP3'!O46+'BP4'!O46+'BP5'!O46</f>
        <v>0</v>
      </c>
      <c r="P51" s="383"/>
      <c r="Q51" s="383"/>
      <c r="R51" s="117" t="s">
        <v>219</v>
      </c>
    </row>
    <row r="52" spans="1:18" s="7" customFormat="1" ht="14.25" customHeight="1" thickBot="1">
      <c r="A52" s="188"/>
      <c r="B52" s="186"/>
      <c r="C52" s="186"/>
      <c r="D52" s="189"/>
      <c r="E52" s="189"/>
      <c r="F52" s="366"/>
      <c r="G52" s="368" t="s">
        <v>459</v>
      </c>
      <c r="H52" s="758" t="s">
        <v>93</v>
      </c>
      <c r="I52" s="759"/>
      <c r="J52" s="759"/>
      <c r="K52" s="875">
        <f>'BP1'!K52:L52+'BP2'!K52+'BP3'!K52+'BP4'!K52+'BP5'!K52</f>
        <v>0</v>
      </c>
      <c r="L52" s="876"/>
      <c r="M52" s="231"/>
      <c r="N52" s="868">
        <f>'BP1'!N52+'BP2'!N52+'BP3'!N52+'BP4'!N52+'BP5'!N52</f>
        <v>0</v>
      </c>
      <c r="O52" s="869">
        <f>'BP1'!O47+'BP2'!O47+'BP3'!O47+'BP4'!O47+'BP5'!O47</f>
        <v>0</v>
      </c>
      <c r="P52" s="383"/>
      <c r="Q52" s="383"/>
      <c r="R52" s="117" t="s">
        <v>219</v>
      </c>
    </row>
    <row r="53" spans="1:18" s="7" customFormat="1" ht="14.25" customHeight="1" thickBot="1">
      <c r="A53" s="172"/>
      <c r="B53" s="178"/>
      <c r="C53" s="178"/>
      <c r="D53" s="192"/>
      <c r="E53" s="192"/>
      <c r="F53" s="192"/>
      <c r="G53" s="192"/>
      <c r="H53" s="760" t="s">
        <v>108</v>
      </c>
      <c r="I53" s="760"/>
      <c r="J53" s="761"/>
      <c r="K53" s="752">
        <f>SUM(K51:L52)</f>
        <v>0</v>
      </c>
      <c r="L53" s="753"/>
      <c r="M53" s="231"/>
      <c r="N53" s="767">
        <f>N51+N52</f>
        <v>0</v>
      </c>
      <c r="O53" s="772"/>
      <c r="P53" s="237"/>
      <c r="Q53" s="237"/>
      <c r="R53" s="117" t="s">
        <v>219</v>
      </c>
    </row>
    <row r="54" spans="1:18" s="7" customFormat="1" ht="14.25" customHeight="1">
      <c r="A54" s="188" t="s">
        <v>210</v>
      </c>
      <c r="B54" s="267"/>
      <c r="C54" s="267"/>
      <c r="D54" s="268"/>
      <c r="E54" s="189"/>
      <c r="F54" s="189"/>
      <c r="G54" s="189"/>
      <c r="H54" s="186"/>
      <c r="I54" s="193"/>
      <c r="J54" s="186"/>
      <c r="K54" s="55"/>
      <c r="L54" s="56"/>
      <c r="M54" s="231"/>
      <c r="N54" s="30"/>
      <c r="O54" s="31"/>
      <c r="P54" s="388"/>
      <c r="Q54" s="388"/>
      <c r="R54" s="117" t="s">
        <v>219</v>
      </c>
    </row>
    <row r="55" spans="1:18" s="7" customFormat="1" ht="14.25" customHeight="1">
      <c r="A55" s="188"/>
      <c r="B55" s="194">
        <v>1</v>
      </c>
      <c r="C55" s="680" t="str">
        <f>'BP1'!C55</f>
        <v>Materials and Supplies</v>
      </c>
      <c r="D55" s="680"/>
      <c r="E55" s="680"/>
      <c r="F55" s="680"/>
      <c r="G55" s="680"/>
      <c r="H55" s="680"/>
      <c r="I55" s="680"/>
      <c r="J55" s="758"/>
      <c r="K55" s="670">
        <f>'BP1'!K55:L55+'BP2'!K55+'BP3'!K55+'BP4'!K55+'BP5'!K55</f>
        <v>0</v>
      </c>
      <c r="L55" s="671"/>
      <c r="M55" s="231"/>
      <c r="N55" s="682">
        <f>'BP1'!N55+'BP2'!N55+'BP3'!N55+'BP4'!N55+'BP5'!N55</f>
        <v>0</v>
      </c>
      <c r="O55" s="766">
        <f>'BP1'!O50+'BP2'!O50+'BP3'!O50+'BP4'!O50+'BP5'!O50</f>
        <v>0</v>
      </c>
      <c r="P55" s="383"/>
      <c r="Q55" s="383"/>
      <c r="R55" s="117" t="s">
        <v>219</v>
      </c>
    </row>
    <row r="56" spans="1:18" s="7" customFormat="1" ht="14.25" customHeight="1">
      <c r="A56" s="188"/>
      <c r="B56" s="194">
        <v>2</v>
      </c>
      <c r="C56" s="680" t="str">
        <f>'BP1'!C56</f>
        <v>Publication Costs</v>
      </c>
      <c r="D56" s="680"/>
      <c r="E56" s="680"/>
      <c r="F56" s="680"/>
      <c r="G56" s="680"/>
      <c r="H56" s="680"/>
      <c r="I56" s="680"/>
      <c r="J56" s="758"/>
      <c r="K56" s="670">
        <f>'BP1'!K56:L56+'BP2'!K56+'BP3'!K56+'BP4'!K56+'BP5'!K56</f>
        <v>0</v>
      </c>
      <c r="L56" s="671"/>
      <c r="M56" s="231"/>
      <c r="N56" s="682">
        <f>'BP1'!N56+'BP2'!N56+'BP3'!N56+'BP4'!N56+'BP5'!N56</f>
        <v>0</v>
      </c>
      <c r="O56" s="766">
        <f>'BP1'!O51+'BP2'!O51+'BP3'!O51+'BP4'!O51+'BP5'!O51</f>
        <v>0</v>
      </c>
      <c r="P56" s="383"/>
      <c r="Q56" s="383"/>
      <c r="R56" s="117" t="s">
        <v>219</v>
      </c>
    </row>
    <row r="57" spans="1:18" s="7" customFormat="1" ht="14.25" customHeight="1">
      <c r="A57" s="188"/>
      <c r="B57" s="194">
        <v>3</v>
      </c>
      <c r="C57" s="680" t="str">
        <f>'BP1'!C57</f>
        <v>Consultant Services</v>
      </c>
      <c r="D57" s="680"/>
      <c r="E57" s="680"/>
      <c r="F57" s="680"/>
      <c r="G57" s="680"/>
      <c r="H57" s="680"/>
      <c r="I57" s="680"/>
      <c r="J57" s="758"/>
      <c r="K57" s="670">
        <f>'BP1'!K57:L57+'BP2'!K57+'BP3'!K57+'BP4'!K57+'BP5'!K57</f>
        <v>0</v>
      </c>
      <c r="L57" s="671"/>
      <c r="M57" s="231"/>
      <c r="N57" s="682">
        <f>'BP1'!N57+'BP2'!N57+'BP3'!N57+'BP4'!N57+'BP5'!N57</f>
        <v>0</v>
      </c>
      <c r="O57" s="766">
        <f>'BP1'!O52+'BP2'!O52+'BP3'!O52+'BP4'!O52+'BP5'!O52</f>
        <v>0</v>
      </c>
      <c r="P57" s="383"/>
      <c r="Q57" s="383"/>
      <c r="R57" s="117" t="s">
        <v>219</v>
      </c>
    </row>
    <row r="58" spans="1:18" s="7" customFormat="1" ht="14.25" customHeight="1">
      <c r="A58" s="188"/>
      <c r="B58" s="194">
        <v>4</v>
      </c>
      <c r="C58" s="680" t="str">
        <f>'BP1'!C58</f>
        <v>Computer Services</v>
      </c>
      <c r="D58" s="680"/>
      <c r="E58" s="680"/>
      <c r="F58" s="680"/>
      <c r="G58" s="680"/>
      <c r="H58" s="680"/>
      <c r="I58" s="680"/>
      <c r="J58" s="758"/>
      <c r="K58" s="670">
        <f>'BP1'!K58:L58+'BP2'!K58+'BP3'!K58+'BP4'!K58+'BP5'!K58</f>
        <v>0</v>
      </c>
      <c r="L58" s="671"/>
      <c r="M58" s="231"/>
      <c r="N58" s="682">
        <f>'BP1'!N58+'BP2'!N58+'BP3'!N58+'BP4'!N58+'BP5'!N58</f>
        <v>0</v>
      </c>
      <c r="O58" s="766">
        <f>'BP1'!O53+'BP2'!O53+'BP3'!O53+'BP4'!O53+'BP5'!O53</f>
        <v>0</v>
      </c>
      <c r="P58" s="383"/>
      <c r="Q58" s="383"/>
      <c r="R58" s="117" t="s">
        <v>219</v>
      </c>
    </row>
    <row r="59" spans="1:18" s="7" customFormat="1" ht="14.25" customHeight="1">
      <c r="A59" s="188"/>
      <c r="B59" s="194">
        <v>5</v>
      </c>
      <c r="C59" s="680" t="s">
        <v>215</v>
      </c>
      <c r="D59" s="680"/>
      <c r="E59" s="680"/>
      <c r="F59" s="680"/>
      <c r="G59" s="680"/>
      <c r="H59" s="680"/>
      <c r="I59" s="680"/>
      <c r="J59" s="758"/>
      <c r="K59" s="670">
        <f>'BP1'!K59:L59+'BP2'!K59+'BP3'!K59+'BP4'!K59+'BP5'!K59</f>
        <v>0</v>
      </c>
      <c r="L59" s="671"/>
      <c r="M59" s="231"/>
      <c r="N59" s="670">
        <f>'BP1'!N59+'BP2'!N59+'BP3'!N59+'BP4'!N59+'BP5'!N59</f>
        <v>0</v>
      </c>
      <c r="O59" s="671">
        <f>'BP1'!O54+'BP2'!O54+'BP3'!O54+'BP4'!O54+'BP5'!O54</f>
        <v>0</v>
      </c>
      <c r="P59" s="237"/>
      <c r="Q59" s="237"/>
      <c r="R59" s="117" t="s">
        <v>219</v>
      </c>
    </row>
    <row r="60" spans="1:18" s="7" customFormat="1" ht="14.25" customHeight="1">
      <c r="A60" s="188"/>
      <c r="B60" s="194">
        <v>6</v>
      </c>
      <c r="C60" s="680" t="str">
        <f>'BP1'!C60</f>
        <v>MTDC Other</v>
      </c>
      <c r="D60" s="680"/>
      <c r="E60" s="680"/>
      <c r="F60" s="680"/>
      <c r="G60" s="680"/>
      <c r="H60" s="680"/>
      <c r="I60" s="680"/>
      <c r="J60" s="758"/>
      <c r="K60" s="670">
        <f>'BP1'!K60:L60+'BP2'!K60+'BP3'!K60+'BP4'!K60+'BP5'!K60</f>
        <v>0</v>
      </c>
      <c r="L60" s="671"/>
      <c r="M60" s="231"/>
      <c r="N60" s="682">
        <f>'BP1'!N60+'BP2'!N60+'BP3'!N60+'BP4'!N60+'BP5'!N60</f>
        <v>0</v>
      </c>
      <c r="O60" s="766">
        <f>'BP1'!O55+'BP2'!O55+'BP3'!O55+'BP4'!O55+'BP5'!O55</f>
        <v>0</v>
      </c>
      <c r="P60" s="383"/>
      <c r="Q60" s="383"/>
      <c r="R60" s="117" t="s">
        <v>219</v>
      </c>
    </row>
    <row r="61" spans="1:18" s="7" customFormat="1" ht="14.25" customHeight="1" thickBot="1">
      <c r="A61" s="188"/>
      <c r="B61" s="194">
        <v>7</v>
      </c>
      <c r="C61" s="680" t="str">
        <f>'BP1'!C61</f>
        <v>Non-MTDC Other (no indirect costs)</v>
      </c>
      <c r="D61" s="680"/>
      <c r="E61" s="680"/>
      <c r="F61" s="680"/>
      <c r="G61" s="680"/>
      <c r="H61" s="680"/>
      <c r="I61" s="680"/>
      <c r="J61" s="758"/>
      <c r="K61" s="670">
        <f>'BP1'!K61:L61+'BP2'!K61+'BP3'!K61+'BP4'!K61+'BP5'!K61</f>
        <v>0</v>
      </c>
      <c r="L61" s="671"/>
      <c r="M61" s="231"/>
      <c r="N61" s="682">
        <f>'BP1'!N61+'BP2'!N61+'BP3'!N61+'BP4'!N61+'BP5'!N61</f>
        <v>0</v>
      </c>
      <c r="O61" s="766">
        <f>'BP1'!O56+'BP2'!O56+'BP3'!O56+'BP4'!O56+'BP5'!O56</f>
        <v>0</v>
      </c>
      <c r="P61" s="383"/>
      <c r="Q61" s="383"/>
      <c r="R61" s="117" t="s">
        <v>219</v>
      </c>
    </row>
    <row r="62" spans="1:18" s="7" customFormat="1" ht="14.25" customHeight="1" thickBot="1">
      <c r="A62" s="148"/>
      <c r="B62" s="213">
        <v>8</v>
      </c>
      <c r="C62" s="680" t="str">
        <f>'BP1'!C62:D62</f>
        <v>Subaward I</v>
      </c>
      <c r="D62" s="680"/>
      <c r="E62" s="678" t="s">
        <v>292</v>
      </c>
      <c r="F62" s="679"/>
      <c r="G62" s="667">
        <f>IF(ISBLANK('BP1'!G62),"",'BP1'!G62)</f>
        <v>0</v>
      </c>
      <c r="H62" s="668"/>
      <c r="I62" s="669"/>
      <c r="J62" s="256"/>
      <c r="K62" s="670">
        <f>IF('Subaward Calculator'!AD9&gt;0,'Subaward Calculator'!AD9,'BP1'!K62+IF('BP2'!K62="",0,'BP2'!K62)+IF('BP3'!K62="",0,'BP3'!K62)+IF('BP4'!K62="",0,'BP4'!K62)+IF('BP5'!K62="",0,'BP5'!K62))</f>
        <v>0</v>
      </c>
      <c r="L62" s="671"/>
      <c r="M62" s="231"/>
      <c r="N62" s="682">
        <f>'Subaward Calculator'!AF9</f>
        <v>0</v>
      </c>
      <c r="O62" s="766">
        <f>'BP1'!O57+'BP2'!O57+'BP3'!O57+'BP4'!O57+'BP5'!O57</f>
        <v>0</v>
      </c>
      <c r="P62" s="389"/>
      <c r="Q62" s="389"/>
      <c r="R62" s="117" t="s">
        <v>219</v>
      </c>
    </row>
    <row r="63" spans="1:18" s="7" customFormat="1" ht="14.25" hidden="1" customHeight="1" thickBot="1">
      <c r="A63" s="188"/>
      <c r="B63" s="213"/>
      <c r="C63" s="680" t="str">
        <f>'BP1'!C63:D63</f>
        <v>Subaward II</v>
      </c>
      <c r="D63" s="680"/>
      <c r="E63" s="678" t="s">
        <v>292</v>
      </c>
      <c r="F63" s="679"/>
      <c r="G63" s="667">
        <f>IF(ISBLANK('BP1'!G63),"",'BP1'!G63)</f>
        <v>0</v>
      </c>
      <c r="H63" s="668"/>
      <c r="I63" s="669"/>
      <c r="J63" s="256"/>
      <c r="K63" s="670">
        <f>IF('Subaward Calculator'!AD12&gt;0,'Subaward Calculator'!AD12,'BP1'!K63+IF('BP2'!K63="",0,'BP2'!K63)+IF('BP3'!K63="",0,'BP3'!K63)+IF('BP4'!K63="",0,'BP4'!K63)+IF('BP5'!K63="",0,'BP5'!K63))</f>
        <v>0</v>
      </c>
      <c r="L63" s="671"/>
      <c r="M63" s="231"/>
      <c r="N63" s="682">
        <f>'Subaward Calculator'!AF12</f>
        <v>0</v>
      </c>
      <c r="O63" s="766">
        <f>'BP1'!O58+'BP2'!O58+'BP3'!O58+'BP4'!O58+'BP5'!O58</f>
        <v>0</v>
      </c>
      <c r="P63" s="389"/>
      <c r="Q63" s="389"/>
      <c r="R63" s="117" t="s">
        <v>222</v>
      </c>
    </row>
    <row r="64" spans="1:18" s="7" customFormat="1" ht="14.25" hidden="1" customHeight="1" thickBot="1">
      <c r="A64" s="148"/>
      <c r="B64" s="213"/>
      <c r="C64" s="680" t="str">
        <f>'BP1'!C64:D64</f>
        <v>Subaward III</v>
      </c>
      <c r="D64" s="680"/>
      <c r="E64" s="678" t="s">
        <v>292</v>
      </c>
      <c r="F64" s="679"/>
      <c r="G64" s="667">
        <f>IF(ISBLANK('BP1'!G64),"",'BP1'!G64)</f>
        <v>0</v>
      </c>
      <c r="H64" s="668"/>
      <c r="I64" s="669"/>
      <c r="J64" s="256"/>
      <c r="K64" s="670">
        <f>IF('Subaward Calculator'!AD15&gt;0,'Subaward Calculator'!AD15,'BP1'!K64+IF('BP2'!K64="",0,'BP2'!K64)+IF('BP3'!K64="",0,'BP3'!K64)+IF('BP4'!K64="",0,'BP4'!K64)+IF('BP5'!K64="",0,'BP5'!K64))</f>
        <v>0</v>
      </c>
      <c r="L64" s="671"/>
      <c r="M64" s="231"/>
      <c r="N64" s="682">
        <f>'Subaward Calculator'!AF15</f>
        <v>0</v>
      </c>
      <c r="O64" s="766">
        <f>'BP1'!O59+'BP2'!O59+'BP3'!O59+'BP4'!O59+'BP5'!O59</f>
        <v>0</v>
      </c>
      <c r="P64" s="389"/>
      <c r="Q64" s="389"/>
      <c r="R64" s="117" t="s">
        <v>222</v>
      </c>
    </row>
    <row r="65" spans="1:18" s="7" customFormat="1" ht="14.25" hidden="1" customHeight="1" thickBot="1">
      <c r="A65" s="148"/>
      <c r="B65" s="213"/>
      <c r="C65" s="680" t="str">
        <f>'BP1'!C65:D65</f>
        <v>Subaward IV</v>
      </c>
      <c r="D65" s="680"/>
      <c r="E65" s="678" t="s">
        <v>292</v>
      </c>
      <c r="F65" s="679"/>
      <c r="G65" s="667">
        <f>IF(ISBLANK('BP1'!G65),"",'BP1'!G65)</f>
        <v>0</v>
      </c>
      <c r="H65" s="668"/>
      <c r="I65" s="669"/>
      <c r="J65" s="256"/>
      <c r="K65" s="670">
        <f>IF('Subaward Calculator'!AD18&gt;0,'Subaward Calculator'!AD18,'BP1'!K65+IF('BP2'!K65="",0,'BP2'!K65)+IF('BP3'!K65="",0,'BP3'!K65)+IF('BP4'!K65="",0,'BP4'!K65)+IF('BP5'!K65="",0,'BP5'!K65))</f>
        <v>0</v>
      </c>
      <c r="L65" s="671"/>
      <c r="M65" s="231"/>
      <c r="N65" s="682">
        <f>'Subaward Calculator'!AF18</f>
        <v>0</v>
      </c>
      <c r="O65" s="766">
        <f>'BP1'!O60+'BP2'!O60+'BP3'!O60+'BP4'!O60+'BP5'!O60</f>
        <v>0</v>
      </c>
      <c r="P65" s="389"/>
      <c r="Q65" s="389"/>
      <c r="R65" s="117" t="s">
        <v>222</v>
      </c>
    </row>
    <row r="66" spans="1:18" s="7" customFormat="1" ht="14.25" hidden="1" customHeight="1" thickBot="1">
      <c r="A66" s="148"/>
      <c r="B66" s="213"/>
      <c r="C66" s="680" t="str">
        <f>'BP1'!C66:D66</f>
        <v>Subaward V</v>
      </c>
      <c r="D66" s="680"/>
      <c r="E66" s="678" t="s">
        <v>292</v>
      </c>
      <c r="F66" s="679"/>
      <c r="G66" s="667">
        <f>IF(ISBLANK('BP1'!G66),"",'BP1'!G66)</f>
        <v>0</v>
      </c>
      <c r="H66" s="668"/>
      <c r="I66" s="669"/>
      <c r="J66" s="256"/>
      <c r="K66" s="670">
        <f>IF('Subaward Calculator'!AD21&gt;0,'Subaward Calculator'!AD21,'BP1'!K66+IF('BP2'!K66="",0,'BP2'!K66)+IF('BP3'!K66="",0,'BP3'!K66)+IF('BP4'!K66="",0,'BP4'!K66)+IF('BP5'!K66="",0,'BP5'!K66))</f>
        <v>0</v>
      </c>
      <c r="L66" s="671"/>
      <c r="M66" s="231"/>
      <c r="N66" s="682">
        <f>'Subaward Calculator'!AF21</f>
        <v>0</v>
      </c>
      <c r="O66" s="766">
        <f>'BP1'!O61+'BP2'!O61+'BP3'!O61+'BP4'!O61+'BP5'!O61</f>
        <v>0</v>
      </c>
      <c r="P66" s="389"/>
      <c r="Q66" s="389"/>
      <c r="R66" s="117" t="s">
        <v>222</v>
      </c>
    </row>
    <row r="67" spans="1:18" s="7" customFormat="1" ht="14.25" hidden="1" customHeight="1" thickBot="1">
      <c r="A67" s="148"/>
      <c r="B67" s="213"/>
      <c r="C67" s="680" t="str">
        <f>'BP1'!C67:D67</f>
        <v>Subaward VI</v>
      </c>
      <c r="D67" s="680"/>
      <c r="E67" s="678" t="s">
        <v>292</v>
      </c>
      <c r="F67" s="679"/>
      <c r="G67" s="667">
        <f>IF(ISBLANK('BP1'!G67),"",'BP1'!G67)</f>
        <v>0</v>
      </c>
      <c r="H67" s="668"/>
      <c r="I67" s="669"/>
      <c r="J67" s="256"/>
      <c r="K67" s="670">
        <f>IF('Subaward Calculator'!AD24&gt;0,'Subaward Calculator'!AD24,'BP1'!K67+IF('BP2'!K67="",0,'BP2'!K67)+IF('BP3'!K67="",0,'BP3'!K67)+IF('BP4'!K67="",0,'BP4'!K67)+IF('BP5'!K67="",0,'BP5'!K67))</f>
        <v>0</v>
      </c>
      <c r="L67" s="671"/>
      <c r="M67" s="231"/>
      <c r="N67" s="682">
        <f>'Subaward Calculator'!AF24</f>
        <v>0</v>
      </c>
      <c r="O67" s="766">
        <f>'BP1'!O62+'BP2'!O62+'BP3'!O62+'BP4'!O62+'BP5'!O62</f>
        <v>0</v>
      </c>
      <c r="P67" s="389"/>
      <c r="Q67" s="389"/>
      <c r="R67" s="117" t="s">
        <v>222</v>
      </c>
    </row>
    <row r="68" spans="1:18" s="7" customFormat="1" ht="14.25" hidden="1" customHeight="1" thickBot="1">
      <c r="A68" s="148"/>
      <c r="B68" s="213"/>
      <c r="C68" s="680" t="str">
        <f>'BP1'!C68:D68</f>
        <v>Subaward VII</v>
      </c>
      <c r="D68" s="680"/>
      <c r="E68" s="678" t="s">
        <v>292</v>
      </c>
      <c r="F68" s="679"/>
      <c r="G68" s="667">
        <f>IF(ISBLANK('BP1'!G68),"",'BP1'!G68)</f>
        <v>0</v>
      </c>
      <c r="H68" s="668"/>
      <c r="I68" s="669"/>
      <c r="J68" s="256"/>
      <c r="K68" s="670">
        <f>IF('Subaward Calculator'!AD27&gt;0,'Subaward Calculator'!AD27,'BP1'!K68+IF('BP2'!K68="",0,'BP2'!K68)+IF('BP3'!K68="",0,'BP3'!K68)+IF('BP4'!K68="",0,'BP4'!K68)+IF('BP5'!K68="",0,'BP5'!K68))</f>
        <v>0</v>
      </c>
      <c r="L68" s="671"/>
      <c r="M68" s="231"/>
      <c r="N68" s="682">
        <f>'Subaward Calculator'!AF27</f>
        <v>0</v>
      </c>
      <c r="O68" s="766">
        <f>'BP1'!O63+'BP2'!O63+'BP3'!O63+'BP4'!O63+'BP5'!O63</f>
        <v>0</v>
      </c>
      <c r="P68" s="389"/>
      <c r="Q68" s="389"/>
      <c r="R68" s="117" t="s">
        <v>223</v>
      </c>
    </row>
    <row r="69" spans="1:18" s="7" customFormat="1" ht="14.25" hidden="1" customHeight="1" thickBot="1">
      <c r="A69" s="148"/>
      <c r="B69" s="213"/>
      <c r="C69" s="680" t="str">
        <f>'BP1'!C69:D69</f>
        <v>Subaward VIII</v>
      </c>
      <c r="D69" s="680"/>
      <c r="E69" s="678" t="s">
        <v>292</v>
      </c>
      <c r="F69" s="679"/>
      <c r="G69" s="667">
        <f>IF(ISBLANK('BP1'!G69),"",'BP1'!G69)</f>
        <v>0</v>
      </c>
      <c r="H69" s="668"/>
      <c r="I69" s="669"/>
      <c r="J69" s="256"/>
      <c r="K69" s="670">
        <f>IF('Subaward Calculator'!AD30&gt;0,'Subaward Calculator'!AD30,'BP1'!K69+IF('BP2'!K69="",0,'BP2'!K69)+IF('BP3'!K69="",0,'BP3'!K69)+IF('BP4'!K69="",0,'BP4'!K69)+IF('BP5'!K69="",0,'BP5'!K69))</f>
        <v>0</v>
      </c>
      <c r="L69" s="671"/>
      <c r="M69" s="231"/>
      <c r="N69" s="682">
        <f>'Subaward Calculator'!AF30</f>
        <v>0</v>
      </c>
      <c r="O69" s="766">
        <f>'BP1'!O64+'BP2'!O64+'BP3'!O64+'BP4'!O64+'BP5'!O64</f>
        <v>0</v>
      </c>
      <c r="P69" s="389"/>
      <c r="Q69" s="389"/>
      <c r="R69" s="117" t="s">
        <v>223</v>
      </c>
    </row>
    <row r="70" spans="1:18" s="7" customFormat="1" ht="14.25" hidden="1" customHeight="1" thickBot="1">
      <c r="A70" s="148"/>
      <c r="B70" s="213"/>
      <c r="C70" s="680" t="str">
        <f>'BP1'!C70:D70</f>
        <v>Subaward IX</v>
      </c>
      <c r="D70" s="680"/>
      <c r="E70" s="678" t="s">
        <v>292</v>
      </c>
      <c r="F70" s="679"/>
      <c r="G70" s="667">
        <f>IF(ISBLANK('BP1'!G70),"",'BP1'!G70)</f>
        <v>0</v>
      </c>
      <c r="H70" s="668"/>
      <c r="I70" s="669"/>
      <c r="J70" s="256"/>
      <c r="K70" s="670">
        <f>IF('Subaward Calculator'!AD33&gt;0,'Subaward Calculator'!AD33,'BP1'!K70+IF('BP2'!K70="",0,'BP2'!K70)+IF('BP3'!K70="",0,'BP3'!K70)+IF('BP4'!K70="",0,'BP4'!K70)+IF('BP5'!K70="",0,'BP5'!K70))</f>
        <v>0</v>
      </c>
      <c r="L70" s="671"/>
      <c r="M70" s="231"/>
      <c r="N70" s="682">
        <f>'Subaward Calculator'!AF33</f>
        <v>0</v>
      </c>
      <c r="O70" s="766">
        <f>'BP1'!O65+'BP2'!O65+'BP3'!O65+'BP4'!O65+'BP5'!O65</f>
        <v>0</v>
      </c>
      <c r="P70" s="389"/>
      <c r="Q70" s="389"/>
      <c r="R70" s="117" t="s">
        <v>223</v>
      </c>
    </row>
    <row r="71" spans="1:18" s="7" customFormat="1" ht="14.25" hidden="1" customHeight="1" thickBot="1">
      <c r="A71" s="148"/>
      <c r="B71" s="213"/>
      <c r="C71" s="680" t="str">
        <f>'BP1'!C71:D71</f>
        <v>Subaward X</v>
      </c>
      <c r="D71" s="680"/>
      <c r="E71" s="678" t="s">
        <v>292</v>
      </c>
      <c r="F71" s="679"/>
      <c r="G71" s="667">
        <f>IF(ISBLANK('BP1'!G71),"",'BP1'!G71)</f>
        <v>0</v>
      </c>
      <c r="H71" s="668"/>
      <c r="I71" s="669"/>
      <c r="J71" s="256"/>
      <c r="K71" s="670">
        <f>IF('Subaward Calculator'!AD36&gt;0,'Subaward Calculator'!AD36,'BP1'!K71+IF('BP2'!K71="",0,'BP2'!K71)+IF('BP3'!K71="",0,'BP3'!K71)+IF('BP4'!K71="",0,'BP4'!K71)+IF('BP5'!K71="",0,'BP5'!K71))</f>
        <v>0</v>
      </c>
      <c r="L71" s="671"/>
      <c r="M71" s="231"/>
      <c r="N71" s="682">
        <f>'Subaward Calculator'!AF36</f>
        <v>0</v>
      </c>
      <c r="O71" s="766">
        <f>'BP1'!O66+'BP2'!O66+'BP3'!O66+'BP4'!O66+'BP5'!O66</f>
        <v>0</v>
      </c>
      <c r="P71" s="389"/>
      <c r="Q71" s="389"/>
      <c r="R71" s="117" t="s">
        <v>223</v>
      </c>
    </row>
    <row r="72" spans="1:18" s="7" customFormat="1" ht="14.25" hidden="1" customHeight="1" thickBot="1">
      <c r="A72" s="148"/>
      <c r="B72" s="213"/>
      <c r="C72" s="680" t="str">
        <f>'BP1'!C72:D72</f>
        <v>Subaward XI</v>
      </c>
      <c r="D72" s="680"/>
      <c r="E72" s="678" t="s">
        <v>292</v>
      </c>
      <c r="F72" s="679"/>
      <c r="G72" s="667">
        <f>IF(ISBLANK('BP1'!G72),"",'BP1'!G72)</f>
        <v>0</v>
      </c>
      <c r="H72" s="668"/>
      <c r="I72" s="669"/>
      <c r="J72" s="256"/>
      <c r="K72" s="670">
        <f>IF('Subaward Calculator'!AD39&gt;0,'Subaward Calculator'!AD39,'BP1'!K72+IF('BP2'!K72="",0,'BP2'!K72)+IF('BP3'!K72="",0,'BP3'!K72)+IF('BP4'!K72="",0,'BP4'!K72)+IF('BP5'!K72="",0,'BP5'!K72))</f>
        <v>0</v>
      </c>
      <c r="L72" s="671"/>
      <c r="M72" s="231"/>
      <c r="N72" s="682">
        <f>'Subaward Calculator'!AF39</f>
        <v>0</v>
      </c>
      <c r="O72" s="766">
        <f>'BP1'!O67+'BP2'!O67+'BP3'!O67+'BP4'!O67+'BP5'!O67</f>
        <v>0</v>
      </c>
      <c r="P72" s="389"/>
      <c r="Q72" s="389"/>
      <c r="R72" s="117" t="s">
        <v>223</v>
      </c>
    </row>
    <row r="73" spans="1:18" s="7" customFormat="1" ht="14.25" hidden="1" customHeight="1" thickBot="1">
      <c r="A73" s="148"/>
      <c r="B73" s="213"/>
      <c r="C73" s="680" t="str">
        <f>'BP1'!C73:D73</f>
        <v>Subaward XII</v>
      </c>
      <c r="D73" s="680"/>
      <c r="E73" s="678" t="s">
        <v>292</v>
      </c>
      <c r="F73" s="679"/>
      <c r="G73" s="667">
        <f>IF(ISBLANK('BP1'!G73),"",'BP1'!G73)</f>
        <v>0</v>
      </c>
      <c r="H73" s="668"/>
      <c r="I73" s="669"/>
      <c r="J73" s="256"/>
      <c r="K73" s="670">
        <f>IF('Subaward Calculator'!AD42&gt;0,'Subaward Calculator'!AD42,'BP1'!K73+IF('BP2'!K73="",0,'BP2'!K73)+IF('BP3'!K73="",0,'BP3'!K73)+IF('BP4'!K73="",0,'BP4'!K73)+IF('BP5'!K73="",0,'BP5'!K73))</f>
        <v>0</v>
      </c>
      <c r="L73" s="671"/>
      <c r="M73" s="231"/>
      <c r="N73" s="682">
        <f>'Subaward Calculator'!AF42</f>
        <v>0</v>
      </c>
      <c r="O73" s="766">
        <f>'BP1'!O68+'BP2'!O68+'BP3'!O68+'BP4'!O68+'BP5'!O68</f>
        <v>0</v>
      </c>
      <c r="P73" s="389"/>
      <c r="Q73" s="389"/>
      <c r="R73" s="117" t="s">
        <v>223</v>
      </c>
    </row>
    <row r="74" spans="1:18" s="7" customFormat="1" ht="14.25" customHeight="1" thickBot="1">
      <c r="A74" s="188" t="s">
        <v>94</v>
      </c>
      <c r="B74" s="149"/>
      <c r="C74" s="149"/>
      <c r="D74" s="152"/>
      <c r="E74" s="153"/>
      <c r="F74" s="153"/>
      <c r="G74" s="153"/>
      <c r="H74" s="149"/>
      <c r="I74" s="151"/>
      <c r="J74" s="149"/>
      <c r="K74" s="752">
        <f>SUM(K55:L73)</f>
        <v>0</v>
      </c>
      <c r="L74" s="753"/>
      <c r="M74" s="231"/>
      <c r="N74" s="767">
        <f>SUM(N55:N73)</f>
        <v>0</v>
      </c>
      <c r="O74" s="772"/>
      <c r="P74" s="237"/>
      <c r="Q74" s="237"/>
      <c r="R74" s="117" t="s">
        <v>219</v>
      </c>
    </row>
    <row r="75" spans="1:18" s="7" customFormat="1" ht="14.25" customHeight="1" thickBot="1">
      <c r="A75" s="188" t="s">
        <v>582</v>
      </c>
      <c r="B75" s="149"/>
      <c r="C75" s="149"/>
      <c r="D75" s="150"/>
      <c r="E75" s="150"/>
      <c r="F75" s="150"/>
      <c r="G75" s="150"/>
      <c r="H75" s="149"/>
      <c r="I75" s="151"/>
      <c r="J75" s="149"/>
      <c r="K75" s="752">
        <f ca="1">SUM(K43+K50+K53+$K$74)</f>
        <v>0</v>
      </c>
      <c r="L75" s="753"/>
      <c r="M75" s="231"/>
      <c r="N75" s="767">
        <f ca="1">SUM(N43+N50+N53+N74)</f>
        <v>0</v>
      </c>
      <c r="O75" s="772"/>
      <c r="P75" s="237"/>
      <c r="Q75" s="237"/>
      <c r="R75" s="117" t="s">
        <v>219</v>
      </c>
    </row>
    <row r="76" spans="1:18" s="7" customFormat="1" ht="14.25" customHeight="1" thickBot="1">
      <c r="A76" s="188" t="str">
        <f>IF('Appendix C-Grants.gov Form Info'!J1&gt;0,IF(AND(SUM(K62:K73)&gt;0,'Subaward Calculator'!AD46=0),"","     Total NU Direct Costs and Subaward Direct Costs"),"")</f>
        <v/>
      </c>
      <c r="B76" s="149"/>
      <c r="C76" s="149"/>
      <c r="D76" s="150"/>
      <c r="E76" s="150"/>
      <c r="F76" s="150"/>
      <c r="G76" s="150"/>
      <c r="H76" s="149"/>
      <c r="I76" s="151"/>
      <c r="J76" s="149"/>
      <c r="K76" s="752" t="str">
        <f>IF('Appendix C-Grants.gov Form Info'!J1&gt;0,IF(AND(SUM(K62:K73)&gt;0,'Subaward Calculator'!AD46=0),"",SUM(K43+K50+K53+$K$74)-'Subaward Calculator'!AD46+'Subaward Calculator'!AD44),"")</f>
        <v/>
      </c>
      <c r="L76" s="753"/>
      <c r="M76" s="231"/>
      <c r="N76" s="241"/>
      <c r="O76" s="242"/>
      <c r="P76" s="237"/>
      <c r="Q76" s="237"/>
      <c r="R76" s="117" t="s">
        <v>219</v>
      </c>
    </row>
    <row r="77" spans="1:18" s="7" customFormat="1" ht="14.25" customHeight="1">
      <c r="A77" s="179" t="s">
        <v>95</v>
      </c>
      <c r="B77" s="180"/>
      <c r="C77" s="180"/>
      <c r="D77" s="180"/>
      <c r="E77" s="156"/>
      <c r="F77" s="243" t="s">
        <v>421</v>
      </c>
      <c r="G77" s="503">
        <f>IF('BP1'!L2="Custom",'BP1'!I77,'BP1'!G77)</f>
        <v>0.6</v>
      </c>
      <c r="H77" s="244"/>
      <c r="I77" s="244"/>
      <c r="J77" s="245"/>
      <c r="K77" s="51"/>
      <c r="L77" s="52"/>
      <c r="M77" s="231"/>
      <c r="N77" s="241"/>
      <c r="O77" s="242"/>
      <c r="P77" s="242"/>
      <c r="Q77" s="242"/>
      <c r="R77" s="117" t="s">
        <v>219</v>
      </c>
    </row>
    <row r="78" spans="1:18" s="7" customFormat="1" ht="14.25" customHeight="1" thickBot="1">
      <c r="A78" s="792" t="str">
        <f>IF(K3="MTDC","Modified Total Direct Costs (MTDC) Base =","Total Direct Costs (TDC) Base =")</f>
        <v>Modified Total Direct Costs (MTDC) Base =</v>
      </c>
      <c r="B78" s="793"/>
      <c r="C78" s="793"/>
      <c r="D78" s="793"/>
      <c r="E78" s="793"/>
      <c r="F78" s="793"/>
      <c r="G78" s="461">
        <f>'BP1'!G78:H78+'BP2'!G78+'BP3'!G78+'BP4'!G78+'BP5'!G78</f>
        <v>0</v>
      </c>
      <c r="H78" s="146"/>
      <c r="I78" s="146"/>
      <c r="J78" s="246"/>
      <c r="K78" s="53"/>
      <c r="L78" s="54"/>
      <c r="M78" s="231"/>
      <c r="N78" s="797" t="s">
        <v>289</v>
      </c>
      <c r="O78" s="797"/>
      <c r="P78" s="241"/>
      <c r="Q78" s="241"/>
      <c r="R78" s="117" t="s">
        <v>219</v>
      </c>
    </row>
    <row r="79" spans="1:18" s="7" customFormat="1" ht="14.25" customHeight="1" thickBot="1">
      <c r="A79" s="864">
        <f ca="1">IF(K3="MTDC",IF(G79&gt;0,"Modified Total Direct Costs (MTDC) Cost-Share Base =",),IF(G79&gt;0,"Total Direct Costs (TDC) Cost-Share Base =",))</f>
        <v>0</v>
      </c>
      <c r="B79" s="865"/>
      <c r="C79" s="865"/>
      <c r="D79" s="865"/>
      <c r="E79" s="865"/>
      <c r="F79" s="865"/>
      <c r="G79" s="504">
        <f ca="1">'BP1'!G79:H79+'BP2'!G79+'BP3'!G79+'BP4'!G79+'BP5'!G79</f>
        <v>0</v>
      </c>
      <c r="H79" s="796" t="s">
        <v>217</v>
      </c>
      <c r="I79" s="796"/>
      <c r="J79" s="796"/>
      <c r="K79" s="752">
        <f ca="1">'BP1'!K79+'BP2'!K79+'BP3'!K79+'BP4'!K79+'BP5'!K79</f>
        <v>0</v>
      </c>
      <c r="L79" s="753"/>
      <c r="M79" s="231"/>
      <c r="N79" s="767">
        <f ca="1">'BP1'!N79+'BP2'!N79+'BP3'!N79+'BP4'!N79+'BP5'!N79</f>
        <v>0</v>
      </c>
      <c r="O79" s="772"/>
      <c r="P79" s="237"/>
      <c r="Q79" s="237"/>
      <c r="R79" s="117" t="s">
        <v>219</v>
      </c>
    </row>
    <row r="80" spans="1:18" s="7" customFormat="1" ht="14.25" customHeight="1" thickBot="1">
      <c r="A80" s="188" t="s">
        <v>96</v>
      </c>
      <c r="B80" s="149"/>
      <c r="C80" s="149"/>
      <c r="D80" s="150"/>
      <c r="E80" s="150"/>
      <c r="F80" s="150"/>
      <c r="G80" s="150"/>
      <c r="H80" s="149"/>
      <c r="I80" s="151"/>
      <c r="J80" s="149"/>
      <c r="K80" s="752">
        <f ca="1">ROUND(K75,0)+ROUND(K79,0)</f>
        <v>0</v>
      </c>
      <c r="L80" s="753"/>
      <c r="M80" s="231"/>
      <c r="N80" s="770">
        <f ca="1">ROUND(N75,0)+ROUND(N79,0)</f>
        <v>0</v>
      </c>
      <c r="O80" s="771"/>
      <c r="P80" s="237"/>
      <c r="Q80" s="237"/>
      <c r="R80" s="117" t="s">
        <v>219</v>
      </c>
    </row>
    <row r="81" spans="1:18" s="7" customFormat="1" ht="14.25" customHeight="1">
      <c r="A81" s="262"/>
      <c r="B81" s="263"/>
      <c r="C81" s="263"/>
      <c r="D81" s="261"/>
      <c r="E81" s="261"/>
      <c r="F81" s="261"/>
      <c r="G81" s="261"/>
      <c r="H81" s="263"/>
      <c r="I81" s="264"/>
      <c r="J81" s="263"/>
      <c r="K81" s="237"/>
      <c r="L81" s="237"/>
      <c r="M81" s="231"/>
      <c r="N81" s="237"/>
      <c r="O81" s="237"/>
      <c r="P81" s="237"/>
      <c r="Q81" s="237"/>
      <c r="R81" s="117" t="s">
        <v>219</v>
      </c>
    </row>
    <row r="82" spans="1:18" s="7" customFormat="1" ht="14.25" customHeight="1" thickBot="1">
      <c r="A82" s="262"/>
      <c r="B82" s="263"/>
      <c r="C82" s="263"/>
      <c r="D82" s="261"/>
      <c r="E82" s="261"/>
      <c r="F82" s="261"/>
      <c r="G82" s="261"/>
      <c r="H82" s="263"/>
      <c r="I82" s="264"/>
      <c r="J82" s="263"/>
      <c r="K82" s="237"/>
      <c r="L82" s="237"/>
      <c r="M82" s="231"/>
      <c r="N82" s="237"/>
      <c r="O82" s="237"/>
      <c r="P82" s="237"/>
      <c r="Q82" s="237"/>
      <c r="R82" s="117" t="s">
        <v>219</v>
      </c>
    </row>
    <row r="83" spans="1:18" ht="13.5" thickBot="1">
      <c r="M83" s="231"/>
      <c r="N83" s="778" t="s">
        <v>586</v>
      </c>
      <c r="O83" s="779"/>
      <c r="R83" s="117" t="s">
        <v>219</v>
      </c>
    </row>
    <row r="84" spans="1:18" ht="15.75" thickBot="1">
      <c r="F84" s="786" t="str">
        <f ca="1">IF(N80&gt;0,"CUMULATIVE SUBAWARD COST-SHARE","")</f>
        <v/>
      </c>
      <c r="G84" s="786"/>
      <c r="H84" s="786"/>
      <c r="I84" s="786"/>
      <c r="J84" s="786"/>
      <c r="K84" s="786"/>
      <c r="L84" s="786"/>
      <c r="M84" s="1"/>
      <c r="N84" s="752">
        <f>'BP1'!$N$88+'BP2'!$N$88+'BP3'!$N$88+'BP4'!$N$88+'BP5'!$N$88</f>
        <v>0</v>
      </c>
      <c r="O84" s="753">
        <f>'BP1'!O78+'BP2'!O78+'BP3'!O78+'BP4'!O78+'BP5'!O78</f>
        <v>0</v>
      </c>
      <c r="P84" s="237"/>
      <c r="Q84" s="237"/>
      <c r="R84" s="117" t="s">
        <v>219</v>
      </c>
    </row>
    <row r="85" spans="1:18" ht="15.75" thickBot="1">
      <c r="F85" s="786" t="str">
        <f ca="1">IF(N80&gt;0,"CUMULATIVE THIRD PARTY COST-SHARE","")</f>
        <v/>
      </c>
      <c r="G85" s="786"/>
      <c r="H85" s="786"/>
      <c r="I85" s="786"/>
      <c r="J85" s="786"/>
      <c r="K85" s="786"/>
      <c r="L85" s="786"/>
      <c r="M85" s="1"/>
      <c r="N85" s="752">
        <f>'BP1'!$N$89+'BP2'!$N$89+'BP3'!$N$89+'BP4'!$N$89+'BP5'!$N$89</f>
        <v>0</v>
      </c>
      <c r="O85" s="753">
        <f>'BP1'!O77+'BP2'!O77+'BP3'!O77+'BP4'!O77+'BP5'!O77</f>
        <v>0</v>
      </c>
      <c r="P85" s="237"/>
      <c r="Q85" s="237"/>
      <c r="R85" s="117" t="s">
        <v>219</v>
      </c>
    </row>
    <row r="86" spans="1:18" ht="15.75" thickBot="1">
      <c r="F86" s="786" t="str">
        <f ca="1">IF(N80&gt;0,"CUMULATIVE TOTAL COST-SHARED","")</f>
        <v/>
      </c>
      <c r="G86" s="786" t="e">
        <f>IF(N78&gt;0,"TOTAL OF YEAR "&amp;#REF!&amp;" COST SHARED","")</f>
        <v>#REF!</v>
      </c>
      <c r="H86" s="786"/>
      <c r="I86" s="786"/>
      <c r="J86" s="786"/>
      <c r="K86" s="786"/>
      <c r="L86" s="786"/>
      <c r="M86" s="1"/>
      <c r="N86" s="752">
        <f ca="1">'BP1'!$N$90+'BP2'!$N$90+'BP3'!$N$90+'BP4'!$N$90+'BP5'!$N$90</f>
        <v>0</v>
      </c>
      <c r="O86" s="753">
        <f>'BP1'!O78+'BP2'!O78+'BP3'!O78+'BP4'!O78+'BP5'!O78</f>
        <v>0</v>
      </c>
      <c r="P86" s="237"/>
      <c r="Q86" s="237"/>
      <c r="R86" s="117" t="s">
        <v>219</v>
      </c>
    </row>
    <row r="87" spans="1:18" ht="15.75" thickBot="1">
      <c r="F87" s="786" t="str">
        <f ca="1">IF(N80&gt;0,"CUMULATIVE SPONSOR COSTS","")</f>
        <v/>
      </c>
      <c r="G87" s="786"/>
      <c r="H87" s="786"/>
      <c r="I87" s="786"/>
      <c r="J87" s="786"/>
      <c r="K87" s="786"/>
      <c r="L87" s="786"/>
      <c r="M87" s="1"/>
      <c r="N87" s="752">
        <f ca="1">'BP1'!$N$91+'BP2'!$N$91+'BP3'!$N$91+'BP4'!$N$91+'BP5'!$N$91</f>
        <v>0</v>
      </c>
      <c r="O87" s="753">
        <f>'BP1'!O79+'BP2'!O79+'BP3'!O79+'BP4'!O79+'BP5'!O79</f>
        <v>0</v>
      </c>
      <c r="P87" s="237"/>
      <c r="Q87" s="237"/>
      <c r="R87" s="117" t="s">
        <v>219</v>
      </c>
    </row>
    <row r="88" spans="1:18" ht="15.75" thickBot="1">
      <c r="F88" s="786" t="str">
        <f ca="1">IF(N80&gt;0,"CUMULATIVE PROJECT COSTS","")</f>
        <v/>
      </c>
      <c r="G88" s="786" t="e">
        <f>IF(N78&gt;0,"TOTAL YEAR "&amp;#REF!&amp;"  PROJECT COSTS","")</f>
        <v>#REF!</v>
      </c>
      <c r="H88" s="786"/>
      <c r="I88" s="786"/>
      <c r="J88" s="786"/>
      <c r="K88" s="786"/>
      <c r="L88" s="786"/>
      <c r="M88" s="1"/>
      <c r="N88" s="752">
        <f ca="1">'BP1'!$N$93+'BP2'!$N$93+'BP3'!$N$93+'BP4'!$N$93+'BP5'!$N$93</f>
        <v>0</v>
      </c>
      <c r="O88" s="753">
        <f>'BP1'!O80+'BP2'!O80+'BP3'!O80+'BP4'!O80+'BP5'!O80</f>
        <v>0</v>
      </c>
      <c r="P88" s="237"/>
      <c r="Q88" s="237"/>
      <c r="R88" s="117" t="s">
        <v>219</v>
      </c>
    </row>
    <row r="89" spans="1:18" ht="15.75" thickBot="1">
      <c r="F89" s="786" t="str">
        <f ca="1">IF(N80&gt;0,"CUMULATIVE COST-SHARE AS % OF SPONSOR COSTS","")</f>
        <v/>
      </c>
      <c r="G89" s="786" t="e">
        <f>IF(N78&gt;0,"YEAR "&amp;#REF!&amp;" COST SHARE AS % OF YEAR "&amp;#REF!&amp;" SPONSOR COSTS","")</f>
        <v>#REF!</v>
      </c>
      <c r="H89" s="786"/>
      <c r="I89" s="786"/>
      <c r="J89" s="786"/>
      <c r="K89" s="786"/>
      <c r="L89" s="786"/>
      <c r="M89" s="1"/>
      <c r="N89" s="775">
        <f ca="1">IFERROR($N$86/$N$87,)</f>
        <v>0</v>
      </c>
      <c r="O89" s="776"/>
      <c r="P89" s="384"/>
      <c r="Q89" s="384"/>
      <c r="R89" s="117" t="s">
        <v>219</v>
      </c>
    </row>
    <row r="90" spans="1:18" ht="15.75" thickBot="1">
      <c r="F90" s="786" t="str">
        <f ca="1">IF(N80&gt;0,"CUMULATIVE COST-SHARE AS % OF PROJECT COSTS","")</f>
        <v/>
      </c>
      <c r="G90" s="786"/>
      <c r="H90" s="786"/>
      <c r="I90" s="786"/>
      <c r="J90" s="786"/>
      <c r="K90" s="786"/>
      <c r="L90" s="786"/>
      <c r="M90" s="1"/>
      <c r="N90" s="775">
        <f ca="1">IFERROR($N$86/$N$88,)</f>
        <v>0</v>
      </c>
      <c r="O90" s="776"/>
      <c r="P90" s="384"/>
      <c r="Q90" s="384"/>
      <c r="R90" s="117" t="s">
        <v>219</v>
      </c>
    </row>
  </sheetData>
  <sheetProtection formatCells="0" formatColumns="0" formatRows="0"/>
  <autoFilter ref="R1:R90" xr:uid="{00000000-0009-0000-0000-000007000000}">
    <filterColumn colId="0">
      <filters>
        <filter val="A) Condensed"/>
      </filters>
    </filterColumn>
  </autoFilter>
  <mergeCells count="180">
    <mergeCell ref="K3:L3"/>
    <mergeCell ref="K7:L7"/>
    <mergeCell ref="K49:L49"/>
    <mergeCell ref="N49:O49"/>
    <mergeCell ref="K45:L45"/>
    <mergeCell ref="N45:O45"/>
    <mergeCell ref="B46:F46"/>
    <mergeCell ref="K46:L46"/>
    <mergeCell ref="N46:O46"/>
    <mergeCell ref="B47:F47"/>
    <mergeCell ref="K47:L47"/>
    <mergeCell ref="N47:O47"/>
    <mergeCell ref="B48:F48"/>
    <mergeCell ref="K48:L48"/>
    <mergeCell ref="N48:O48"/>
    <mergeCell ref="H8:J9"/>
    <mergeCell ref="K10:L11"/>
    <mergeCell ref="B22:F22"/>
    <mergeCell ref="B23:F23"/>
    <mergeCell ref="H10:J11"/>
    <mergeCell ref="B21:F21"/>
    <mergeCell ref="K12:L13"/>
    <mergeCell ref="K43:L43"/>
    <mergeCell ref="B20:F20"/>
    <mergeCell ref="E9:G9"/>
    <mergeCell ref="F90:L90"/>
    <mergeCell ref="N90:O90"/>
    <mergeCell ref="F85:L85"/>
    <mergeCell ref="N85:O85"/>
    <mergeCell ref="F86:L86"/>
    <mergeCell ref="N86:O86"/>
    <mergeCell ref="F87:L87"/>
    <mergeCell ref="N87:O87"/>
    <mergeCell ref="F88:L88"/>
    <mergeCell ref="N88:O88"/>
    <mergeCell ref="F89:L89"/>
    <mergeCell ref="N89:O89"/>
    <mergeCell ref="K50:L50"/>
    <mergeCell ref="K51:L51"/>
    <mergeCell ref="K52:L52"/>
    <mergeCell ref="K53:L53"/>
    <mergeCell ref="K55:L55"/>
    <mergeCell ref="K56:L56"/>
    <mergeCell ref="K57:L57"/>
    <mergeCell ref="K58:L58"/>
    <mergeCell ref="K59:L59"/>
    <mergeCell ref="E11:G11"/>
    <mergeCell ref="H12:J12"/>
    <mergeCell ref="H13:J13"/>
    <mergeCell ref="C59:J59"/>
    <mergeCell ref="C55:J55"/>
    <mergeCell ref="C57:J57"/>
    <mergeCell ref="C58:J58"/>
    <mergeCell ref="B27:F27"/>
    <mergeCell ref="B28:F28"/>
    <mergeCell ref="B29:F29"/>
    <mergeCell ref="G12:G14"/>
    <mergeCell ref="C56:J56"/>
    <mergeCell ref="B45:F45"/>
    <mergeCell ref="B49:F49"/>
    <mergeCell ref="H51:J51"/>
    <mergeCell ref="H52:J52"/>
    <mergeCell ref="H53:J53"/>
    <mergeCell ref="N43:O43"/>
    <mergeCell ref="M1:O9"/>
    <mergeCell ref="M10:O11"/>
    <mergeCell ref="N12:O13"/>
    <mergeCell ref="N41:O41"/>
    <mergeCell ref="N42:O42"/>
    <mergeCell ref="A1:J4"/>
    <mergeCell ref="K1:L1"/>
    <mergeCell ref="K4:L4"/>
    <mergeCell ref="A5:J6"/>
    <mergeCell ref="K5:L5"/>
    <mergeCell ref="K6:L6"/>
    <mergeCell ref="K42:L42"/>
    <mergeCell ref="A30:F30"/>
    <mergeCell ref="B18:F18"/>
    <mergeCell ref="B19:F19"/>
    <mergeCell ref="B24:F24"/>
    <mergeCell ref="B25:F25"/>
    <mergeCell ref="B26:F26"/>
    <mergeCell ref="K41:L41"/>
    <mergeCell ref="B16:F16"/>
    <mergeCell ref="B15:F15"/>
    <mergeCell ref="B17:F17"/>
    <mergeCell ref="K8:L9"/>
    <mergeCell ref="N55:O55"/>
    <mergeCell ref="N56:O56"/>
    <mergeCell ref="N57:O57"/>
    <mergeCell ref="N58:O58"/>
    <mergeCell ref="N59:O59"/>
    <mergeCell ref="N50:O50"/>
    <mergeCell ref="N51:O51"/>
    <mergeCell ref="N52:O52"/>
    <mergeCell ref="N53:O53"/>
    <mergeCell ref="K76:L76"/>
    <mergeCell ref="N60:O60"/>
    <mergeCell ref="N61:O61"/>
    <mergeCell ref="N74:O74"/>
    <mergeCell ref="N75:O75"/>
    <mergeCell ref="C60:J60"/>
    <mergeCell ref="C61:J61"/>
    <mergeCell ref="K60:L60"/>
    <mergeCell ref="K61:L61"/>
    <mergeCell ref="K62:L62"/>
    <mergeCell ref="K63:L63"/>
    <mergeCell ref="K64:L64"/>
    <mergeCell ref="K65:L65"/>
    <mergeCell ref="K66:L66"/>
    <mergeCell ref="K67:L67"/>
    <mergeCell ref="K68:L68"/>
    <mergeCell ref="K69:L69"/>
    <mergeCell ref="K70:L70"/>
    <mergeCell ref="K71:L71"/>
    <mergeCell ref="K72:L72"/>
    <mergeCell ref="K73:L73"/>
    <mergeCell ref="K74:L74"/>
    <mergeCell ref="K75:L75"/>
    <mergeCell ref="C71:D71"/>
    <mergeCell ref="E72:F72"/>
    <mergeCell ref="G72:I72"/>
    <mergeCell ref="C73:D73"/>
    <mergeCell ref="E73:F73"/>
    <mergeCell ref="G73:I73"/>
    <mergeCell ref="C69:D69"/>
    <mergeCell ref="E69:F69"/>
    <mergeCell ref="G69:I69"/>
    <mergeCell ref="N71:O71"/>
    <mergeCell ref="N72:O72"/>
    <mergeCell ref="N73:O73"/>
    <mergeCell ref="E71:F71"/>
    <mergeCell ref="A9:D9"/>
    <mergeCell ref="A11:D11"/>
    <mergeCell ref="C70:D70"/>
    <mergeCell ref="E70:F70"/>
    <mergeCell ref="G70:I70"/>
    <mergeCell ref="C67:D67"/>
    <mergeCell ref="E67:F67"/>
    <mergeCell ref="G67:I67"/>
    <mergeCell ref="C68:D68"/>
    <mergeCell ref="E68:F68"/>
    <mergeCell ref="G68:I68"/>
    <mergeCell ref="C62:D62"/>
    <mergeCell ref="E62:F62"/>
    <mergeCell ref="G62:I62"/>
    <mergeCell ref="C63:D63"/>
    <mergeCell ref="E63:F63"/>
    <mergeCell ref="G63:I63"/>
    <mergeCell ref="C64:D64"/>
    <mergeCell ref="E64:F64"/>
    <mergeCell ref="G64:I64"/>
    <mergeCell ref="C65:D65"/>
    <mergeCell ref="E65:F65"/>
    <mergeCell ref="G65:I65"/>
    <mergeCell ref="C66:D66"/>
    <mergeCell ref="F84:L84"/>
    <mergeCell ref="N84:O84"/>
    <mergeCell ref="N83:O83"/>
    <mergeCell ref="N62:O62"/>
    <mergeCell ref="N63:O63"/>
    <mergeCell ref="N64:O64"/>
    <mergeCell ref="N65:O65"/>
    <mergeCell ref="N66:O66"/>
    <mergeCell ref="N67:O67"/>
    <mergeCell ref="N68:O68"/>
    <mergeCell ref="N69:O69"/>
    <mergeCell ref="N70:O70"/>
    <mergeCell ref="E66:F66"/>
    <mergeCell ref="G66:I66"/>
    <mergeCell ref="N78:O78"/>
    <mergeCell ref="N79:O79"/>
    <mergeCell ref="N80:O80"/>
    <mergeCell ref="A78:F78"/>
    <mergeCell ref="A79:F79"/>
    <mergeCell ref="H79:J79"/>
    <mergeCell ref="K79:L79"/>
    <mergeCell ref="K80:L80"/>
    <mergeCell ref="G71:I71"/>
    <mergeCell ref="C72:D72"/>
  </mergeCells>
  <phoneticPr fontId="10" type="noConversion"/>
  <dataValidations count="2">
    <dataValidation errorStyle="warning" allowBlank="1" showInputMessage="1" sqref="K7" xr:uid="{00000000-0002-0000-0700-000000000000}"/>
    <dataValidation allowBlank="1" showErrorMessage="1" sqref="K2:K3 L2" xr:uid="{00000000-0002-0000-0700-000001000000}"/>
  </dataValidations>
  <printOptions horizontalCentered="1" verticalCentered="1"/>
  <pageMargins left="0.5" right="0.5" top="0.5" bottom="1" header="0.5" footer="0.35"/>
  <pageSetup scale="91" orientation="portrait" horizontalDpi="300" r:id="rId1"/>
  <headerFooter alignWithMargins="0"/>
  <ignoredErrors>
    <ignoredError sqref="E9 E11 K45 N50:O61 N45 N15:O40 N46:O49 O45 G62:I73 B45:F49 K46:L49 A11 O62 N63:O73 N62 N42:O44 O41" unlockedFormula="1"/>
    <ignoredError sqref="G51:G52" numberStoredAsText="1"/>
  </ignoredError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3D35F9-9D12-4E63-8FA0-1B97C61C939A}">
  <sheetPr>
    <tabColor theme="6" tint="0.59999389629810485"/>
  </sheetPr>
  <dimension ref="A1:AE53"/>
  <sheetViews>
    <sheetView zoomScaleNormal="100" workbookViewId="0">
      <selection sqref="A1:U1"/>
    </sheetView>
  </sheetViews>
  <sheetFormatPr defaultRowHeight="12.75"/>
  <cols>
    <col min="1" max="3" width="9.140625" customWidth="1"/>
    <col min="4" max="21" width="8.28515625" customWidth="1"/>
    <col min="22" max="22" width="3.85546875" customWidth="1"/>
    <col min="23" max="25" width="9.140625" customWidth="1"/>
    <col min="26" max="31" width="8.28515625" customWidth="1"/>
  </cols>
  <sheetData>
    <row r="1" spans="1:31" ht="16.5" thickBot="1">
      <c r="A1" s="630" t="s">
        <v>201</v>
      </c>
      <c r="B1" s="631"/>
      <c r="C1" s="631"/>
      <c r="D1" s="631"/>
      <c r="E1" s="631"/>
      <c r="F1" s="631"/>
      <c r="G1" s="631"/>
      <c r="H1" s="631"/>
      <c r="I1" s="631"/>
      <c r="J1" s="631"/>
      <c r="K1" s="631"/>
      <c r="L1" s="631"/>
      <c r="M1" s="631"/>
      <c r="N1" s="631"/>
      <c r="O1" s="631"/>
      <c r="P1" s="631"/>
      <c r="Q1" s="631"/>
      <c r="R1" s="631"/>
      <c r="S1" s="631"/>
      <c r="T1" s="631"/>
      <c r="U1" s="632"/>
      <c r="V1" s="61"/>
      <c r="W1" s="654" t="s">
        <v>510</v>
      </c>
      <c r="X1" s="655"/>
      <c r="Y1" s="655"/>
      <c r="Z1" s="655"/>
      <c r="AA1" s="655"/>
      <c r="AB1" s="655"/>
      <c r="AC1" s="655"/>
      <c r="AD1" s="655"/>
      <c r="AE1" s="656"/>
    </row>
    <row r="2" spans="1:31" ht="15.75">
      <c r="A2" s="605" t="s">
        <v>227</v>
      </c>
      <c r="B2" s="605"/>
      <c r="C2" s="605"/>
      <c r="D2" s="616" t="s">
        <v>424</v>
      </c>
      <c r="E2" s="617"/>
      <c r="F2" s="618"/>
      <c r="G2" s="616" t="s">
        <v>425</v>
      </c>
      <c r="H2" s="617"/>
      <c r="I2" s="618"/>
      <c r="J2" s="616" t="s">
        <v>426</v>
      </c>
      <c r="K2" s="617"/>
      <c r="L2" s="618"/>
      <c r="M2" s="619" t="s">
        <v>427</v>
      </c>
      <c r="N2" s="619"/>
      <c r="O2" s="619"/>
      <c r="P2" s="616" t="s">
        <v>428</v>
      </c>
      <c r="Q2" s="617"/>
      <c r="R2" s="618"/>
      <c r="S2" s="616" t="s">
        <v>97</v>
      </c>
      <c r="T2" s="617"/>
      <c r="U2" s="618"/>
      <c r="V2" s="61"/>
      <c r="W2" s="657" t="s">
        <v>227</v>
      </c>
      <c r="X2" s="657"/>
      <c r="Y2" s="657"/>
      <c r="Z2" s="364" t="s">
        <v>451</v>
      </c>
      <c r="AA2" s="364" t="s">
        <v>452</v>
      </c>
      <c r="AB2" s="364" t="s">
        <v>453</v>
      </c>
      <c r="AC2" s="364" t="s">
        <v>454</v>
      </c>
      <c r="AD2" s="365" t="s">
        <v>455</v>
      </c>
      <c r="AE2" s="364" t="s">
        <v>97</v>
      </c>
    </row>
    <row r="3" spans="1:31" ht="15.75">
      <c r="A3" s="592" t="str">
        <f>IF('BP1'!$B$15="Professor McCormick","Senior Personnel 1",IF(ISBLANK('BP1'!$B$15),"Senior Personnel 1",'BP1'!$B$15))</f>
        <v>Senior Personnel 1</v>
      </c>
      <c r="B3" s="593"/>
      <c r="C3" s="594"/>
      <c r="D3" s="569" t="s">
        <v>2</v>
      </c>
      <c r="E3" s="571" t="s">
        <v>198</v>
      </c>
      <c r="F3" s="571" t="s">
        <v>199</v>
      </c>
      <c r="G3" s="569" t="s">
        <v>2</v>
      </c>
      <c r="H3" s="571" t="s">
        <v>198</v>
      </c>
      <c r="I3" s="571" t="s">
        <v>199</v>
      </c>
      <c r="J3" s="569" t="s">
        <v>2</v>
      </c>
      <c r="K3" s="571" t="s">
        <v>198</v>
      </c>
      <c r="L3" s="571" t="s">
        <v>199</v>
      </c>
      <c r="M3" s="569" t="s">
        <v>2</v>
      </c>
      <c r="N3" s="571" t="s">
        <v>198</v>
      </c>
      <c r="O3" s="571" t="s">
        <v>199</v>
      </c>
      <c r="P3" s="569" t="s">
        <v>2</v>
      </c>
      <c r="Q3" s="571" t="s">
        <v>198</v>
      </c>
      <c r="R3" s="571" t="s">
        <v>199</v>
      </c>
      <c r="S3" s="569" t="s">
        <v>2</v>
      </c>
      <c r="T3" s="571" t="s">
        <v>198</v>
      </c>
      <c r="U3" s="571" t="s">
        <v>199</v>
      </c>
      <c r="V3" s="61"/>
      <c r="W3" s="627" t="str">
        <f>IF('BP1'!$B$15="Professor McCormick","Senior Personnel 1",IF(ISBLANK('BP1'!$B$15),"Senior Personnel 1",'BP1'!$B$15))</f>
        <v>Senior Personnel 1</v>
      </c>
      <c r="X3" s="627"/>
      <c r="Y3" s="627"/>
      <c r="Z3" s="573" t="s">
        <v>288</v>
      </c>
      <c r="AA3" s="573" t="s">
        <v>288</v>
      </c>
      <c r="AB3" s="573" t="s">
        <v>288</v>
      </c>
      <c r="AC3" s="573" t="s">
        <v>288</v>
      </c>
      <c r="AD3" s="573" t="s">
        <v>288</v>
      </c>
      <c r="AE3" s="573" t="s">
        <v>288</v>
      </c>
    </row>
    <row r="4" spans="1:31" ht="15.75">
      <c r="A4" s="595"/>
      <c r="B4" s="596"/>
      <c r="C4" s="597"/>
      <c r="D4" s="570">
        <f>'Cost Share Summary'!Y9</f>
        <v>0</v>
      </c>
      <c r="E4" s="572">
        <f>'Cost Share Summary'!Z9</f>
        <v>0</v>
      </c>
      <c r="F4" s="572">
        <f>'Cost Share Summary'!AA9</f>
        <v>0</v>
      </c>
      <c r="G4" s="570">
        <f>'Cost Share Summary'!AB9</f>
        <v>0</v>
      </c>
      <c r="H4" s="572">
        <f>'Cost Share Summary'!AC9</f>
        <v>0</v>
      </c>
      <c r="I4" s="572">
        <f>'Cost Share Summary'!AD9</f>
        <v>0</v>
      </c>
      <c r="J4" s="570">
        <f>'Cost Share Summary'!AE9</f>
        <v>0</v>
      </c>
      <c r="K4" s="572">
        <f>'Cost Share Summary'!AF9</f>
        <v>0</v>
      </c>
      <c r="L4" s="572">
        <f>'Cost Share Summary'!AG9</f>
        <v>0</v>
      </c>
      <c r="M4" s="570">
        <f>'Cost Share Summary'!AH9</f>
        <v>0</v>
      </c>
      <c r="N4" s="572">
        <f>'Cost Share Summary'!AI9</f>
        <v>0</v>
      </c>
      <c r="O4" s="572">
        <f>'Cost Share Summary'!AJ9</f>
        <v>0</v>
      </c>
      <c r="P4" s="570">
        <f>'Cost Share Summary'!AK9</f>
        <v>0</v>
      </c>
      <c r="Q4" s="572">
        <f>'Cost Share Summary'!AL9</f>
        <v>0</v>
      </c>
      <c r="R4" s="572">
        <f>'Cost Share Summary'!AM9</f>
        <v>0</v>
      </c>
      <c r="S4" s="570">
        <f>D4+G4+J4+M4+P4</f>
        <v>0</v>
      </c>
      <c r="T4" s="572">
        <f>E4+H4+K4+N4+Q4</f>
        <v>0</v>
      </c>
      <c r="U4" s="572">
        <f>F4+I4+L4+O4+R4</f>
        <v>0</v>
      </c>
      <c r="V4" s="61"/>
      <c r="W4" s="627"/>
      <c r="X4" s="627"/>
      <c r="Y4" s="627"/>
      <c r="Z4" s="574">
        <f>'Cost Share Summary'!AU9</f>
        <v>0</v>
      </c>
      <c r="AA4" s="574">
        <f>'Cost Share Summary'!AV9</f>
        <v>0</v>
      </c>
      <c r="AB4" s="574">
        <f>'Cost Share Summary'!AW9</f>
        <v>0</v>
      </c>
      <c r="AC4" s="574">
        <f>'Cost Share Summary'!AX9</f>
        <v>0</v>
      </c>
      <c r="AD4" s="574">
        <f>'Cost Share Summary'!AY9</f>
        <v>0</v>
      </c>
      <c r="AE4" s="574">
        <f>Z4+AA4+AB4+AC4+AD4</f>
        <v>0</v>
      </c>
    </row>
    <row r="5" spans="1:31" ht="15.75">
      <c r="A5" s="592" t="str">
        <f>IF(ISBLANK('BP1'!$B$16),"Senior Personnel 2",""&amp;'BP1'!$B$16)</f>
        <v>Senior Personnel 2</v>
      </c>
      <c r="B5" s="593"/>
      <c r="C5" s="594"/>
      <c r="D5" s="569" t="s">
        <v>2</v>
      </c>
      <c r="E5" s="571" t="s">
        <v>198</v>
      </c>
      <c r="F5" s="571" t="s">
        <v>199</v>
      </c>
      <c r="G5" s="569" t="s">
        <v>2</v>
      </c>
      <c r="H5" s="571" t="s">
        <v>198</v>
      </c>
      <c r="I5" s="571" t="s">
        <v>199</v>
      </c>
      <c r="J5" s="569" t="s">
        <v>2</v>
      </c>
      <c r="K5" s="571" t="s">
        <v>198</v>
      </c>
      <c r="L5" s="571" t="s">
        <v>199</v>
      </c>
      <c r="M5" s="569" t="s">
        <v>2</v>
      </c>
      <c r="N5" s="571" t="s">
        <v>198</v>
      </c>
      <c r="O5" s="571" t="s">
        <v>199</v>
      </c>
      <c r="P5" s="569" t="s">
        <v>2</v>
      </c>
      <c r="Q5" s="571" t="s">
        <v>198</v>
      </c>
      <c r="R5" s="571" t="s">
        <v>199</v>
      </c>
      <c r="S5" s="569" t="s">
        <v>2</v>
      </c>
      <c r="T5" s="571" t="s">
        <v>198</v>
      </c>
      <c r="U5" s="571" t="s">
        <v>199</v>
      </c>
      <c r="V5" s="61"/>
      <c r="W5" s="627" t="str">
        <f>IF(ISBLANK('BP1'!$B$16),"Senior Personnel 2",""&amp;'BP1'!$B$16)</f>
        <v>Senior Personnel 2</v>
      </c>
      <c r="X5" s="627"/>
      <c r="Y5" s="627"/>
      <c r="Z5" s="573" t="s">
        <v>288</v>
      </c>
      <c r="AA5" s="573" t="s">
        <v>288</v>
      </c>
      <c r="AB5" s="573" t="s">
        <v>288</v>
      </c>
      <c r="AC5" s="573" t="s">
        <v>288</v>
      </c>
      <c r="AD5" s="573" t="s">
        <v>288</v>
      </c>
      <c r="AE5" s="573" t="s">
        <v>288</v>
      </c>
    </row>
    <row r="6" spans="1:31" ht="15.75">
      <c r="A6" s="595"/>
      <c r="B6" s="596"/>
      <c r="C6" s="597"/>
      <c r="D6" s="570">
        <f>'Cost Share Summary'!Y11</f>
        <v>0</v>
      </c>
      <c r="E6" s="572">
        <f>'Cost Share Summary'!Z11</f>
        <v>0</v>
      </c>
      <c r="F6" s="572">
        <f>'Cost Share Summary'!AA11</f>
        <v>0</v>
      </c>
      <c r="G6" s="570">
        <f>'Cost Share Summary'!AB11</f>
        <v>0</v>
      </c>
      <c r="H6" s="572">
        <f>'Cost Share Summary'!AC11</f>
        <v>0</v>
      </c>
      <c r="I6" s="572">
        <f>'Cost Share Summary'!AD11</f>
        <v>0</v>
      </c>
      <c r="J6" s="570">
        <f>'Cost Share Summary'!AE11</f>
        <v>0</v>
      </c>
      <c r="K6" s="572">
        <f>'Cost Share Summary'!AF11</f>
        <v>0</v>
      </c>
      <c r="L6" s="572">
        <f>'Cost Share Summary'!AG11</f>
        <v>0</v>
      </c>
      <c r="M6" s="570">
        <f>'Cost Share Summary'!AH11</f>
        <v>0</v>
      </c>
      <c r="N6" s="572">
        <f>'Cost Share Summary'!AI11</f>
        <v>0</v>
      </c>
      <c r="O6" s="572">
        <f>'Cost Share Summary'!AJ11</f>
        <v>0</v>
      </c>
      <c r="P6" s="570">
        <f>'Cost Share Summary'!AK11</f>
        <v>0</v>
      </c>
      <c r="Q6" s="572">
        <f>'Cost Share Summary'!AL11</f>
        <v>0</v>
      </c>
      <c r="R6" s="572">
        <f>'Cost Share Summary'!AM11</f>
        <v>0</v>
      </c>
      <c r="S6" s="570">
        <f>D6+G6+J6+M6+P6</f>
        <v>0</v>
      </c>
      <c r="T6" s="572">
        <f>E6+H6+K6+N6+Q6</f>
        <v>0</v>
      </c>
      <c r="U6" s="572">
        <f>F6+I6+L6+O6+R6</f>
        <v>0</v>
      </c>
      <c r="V6" s="61"/>
      <c r="W6" s="627"/>
      <c r="X6" s="627"/>
      <c r="Y6" s="627"/>
      <c r="Z6" s="574">
        <f>'Cost Share Summary'!AU11</f>
        <v>0</v>
      </c>
      <c r="AA6" s="574">
        <f>'Cost Share Summary'!AV11</f>
        <v>0</v>
      </c>
      <c r="AB6" s="574">
        <f>'Cost Share Summary'!AW11</f>
        <v>0</v>
      </c>
      <c r="AC6" s="574">
        <f>'Cost Share Summary'!AX11</f>
        <v>0</v>
      </c>
      <c r="AD6" s="574">
        <f>'Cost Share Summary'!AY11</f>
        <v>0</v>
      </c>
      <c r="AE6" s="574">
        <f>Z6+AA6+AB6+AC6+AD6</f>
        <v>0</v>
      </c>
    </row>
    <row r="7" spans="1:31" ht="15.75">
      <c r="A7" s="592" t="str">
        <f>IF(ISBLANK('BP1'!$B$17),"Senior Personnel 3",""&amp;'BP1'!$B$17)</f>
        <v>Senior Personnel 3</v>
      </c>
      <c r="B7" s="593"/>
      <c r="C7" s="594"/>
      <c r="D7" s="569" t="s">
        <v>2</v>
      </c>
      <c r="E7" s="571" t="s">
        <v>198</v>
      </c>
      <c r="F7" s="571" t="s">
        <v>199</v>
      </c>
      <c r="G7" s="569" t="s">
        <v>2</v>
      </c>
      <c r="H7" s="571" t="s">
        <v>198</v>
      </c>
      <c r="I7" s="571" t="s">
        <v>199</v>
      </c>
      <c r="J7" s="569" t="s">
        <v>2</v>
      </c>
      <c r="K7" s="571" t="s">
        <v>198</v>
      </c>
      <c r="L7" s="571" t="s">
        <v>199</v>
      </c>
      <c r="M7" s="569" t="s">
        <v>2</v>
      </c>
      <c r="N7" s="571" t="s">
        <v>198</v>
      </c>
      <c r="O7" s="571" t="s">
        <v>199</v>
      </c>
      <c r="P7" s="569" t="s">
        <v>2</v>
      </c>
      <c r="Q7" s="571" t="s">
        <v>198</v>
      </c>
      <c r="R7" s="571" t="s">
        <v>199</v>
      </c>
      <c r="S7" s="569" t="s">
        <v>2</v>
      </c>
      <c r="T7" s="571" t="s">
        <v>198</v>
      </c>
      <c r="U7" s="571" t="s">
        <v>199</v>
      </c>
      <c r="V7" s="61"/>
      <c r="W7" s="627" t="str">
        <f>IF(ISBLANK('BP1'!$B$17),"Senior Personnel 3",""&amp;'BP1'!$B$17)</f>
        <v>Senior Personnel 3</v>
      </c>
      <c r="X7" s="627"/>
      <c r="Y7" s="627"/>
      <c r="Z7" s="573" t="s">
        <v>288</v>
      </c>
      <c r="AA7" s="573" t="s">
        <v>288</v>
      </c>
      <c r="AB7" s="573" t="s">
        <v>288</v>
      </c>
      <c r="AC7" s="573" t="s">
        <v>288</v>
      </c>
      <c r="AD7" s="573" t="s">
        <v>288</v>
      </c>
      <c r="AE7" s="573" t="s">
        <v>288</v>
      </c>
    </row>
    <row r="8" spans="1:31" ht="15.75">
      <c r="A8" s="595"/>
      <c r="B8" s="596"/>
      <c r="C8" s="597"/>
      <c r="D8" s="570">
        <f>'Cost Share Summary'!Y13</f>
        <v>0</v>
      </c>
      <c r="E8" s="572">
        <f>'Cost Share Summary'!Z13</f>
        <v>0</v>
      </c>
      <c r="F8" s="572">
        <f>'Cost Share Summary'!AA13</f>
        <v>0</v>
      </c>
      <c r="G8" s="570">
        <f>'Cost Share Summary'!AB13</f>
        <v>0</v>
      </c>
      <c r="H8" s="572">
        <f>'Cost Share Summary'!AC13</f>
        <v>0</v>
      </c>
      <c r="I8" s="572">
        <f>'Cost Share Summary'!AD13</f>
        <v>0</v>
      </c>
      <c r="J8" s="570">
        <f>'Cost Share Summary'!AE13</f>
        <v>0</v>
      </c>
      <c r="K8" s="572">
        <f>'Cost Share Summary'!AF13</f>
        <v>0</v>
      </c>
      <c r="L8" s="572">
        <f>'Cost Share Summary'!AG13</f>
        <v>0</v>
      </c>
      <c r="M8" s="570">
        <f>'Cost Share Summary'!AH13</f>
        <v>0</v>
      </c>
      <c r="N8" s="572">
        <f>'Cost Share Summary'!AI13</f>
        <v>0</v>
      </c>
      <c r="O8" s="572">
        <f>'Cost Share Summary'!AJ13</f>
        <v>0</v>
      </c>
      <c r="P8" s="570">
        <f>'Cost Share Summary'!AK13</f>
        <v>0</v>
      </c>
      <c r="Q8" s="572">
        <f>'Cost Share Summary'!AL13</f>
        <v>0</v>
      </c>
      <c r="R8" s="572">
        <f>'Cost Share Summary'!AM13</f>
        <v>0</v>
      </c>
      <c r="S8" s="570">
        <f>D8+G8+J8+M8+P8</f>
        <v>0</v>
      </c>
      <c r="T8" s="572">
        <f>E8+H8+K8+N8+Q8</f>
        <v>0</v>
      </c>
      <c r="U8" s="572">
        <f>F8+I8+L8+O8+R8</f>
        <v>0</v>
      </c>
      <c r="V8" s="61"/>
      <c r="W8" s="627"/>
      <c r="X8" s="627"/>
      <c r="Y8" s="627"/>
      <c r="Z8" s="574">
        <f>'Cost Share Summary'!AU13</f>
        <v>0</v>
      </c>
      <c r="AA8" s="574">
        <f>'Cost Share Summary'!AV13</f>
        <v>0</v>
      </c>
      <c r="AB8" s="574">
        <f>'Cost Share Summary'!AW13</f>
        <v>0</v>
      </c>
      <c r="AC8" s="574">
        <f>'Cost Share Summary'!AX13</f>
        <v>0</v>
      </c>
      <c r="AD8" s="574">
        <f>'Cost Share Summary'!AY13</f>
        <v>0</v>
      </c>
      <c r="AE8" s="574">
        <f>Z8+AA8+AB8+AC8+AD8</f>
        <v>0</v>
      </c>
    </row>
    <row r="9" spans="1:31" ht="15.75">
      <c r="A9" s="592" t="str">
        <f>IF(ISBLANK('BP1'!$B$18),"Senior Personnel 4",""&amp;'BP1'!$B$18)</f>
        <v>Senior Personnel 4</v>
      </c>
      <c r="B9" s="593"/>
      <c r="C9" s="594"/>
      <c r="D9" s="569" t="s">
        <v>2</v>
      </c>
      <c r="E9" s="571" t="s">
        <v>198</v>
      </c>
      <c r="F9" s="571" t="s">
        <v>199</v>
      </c>
      <c r="G9" s="569" t="s">
        <v>2</v>
      </c>
      <c r="H9" s="571" t="s">
        <v>198</v>
      </c>
      <c r="I9" s="571" t="s">
        <v>199</v>
      </c>
      <c r="J9" s="569" t="s">
        <v>2</v>
      </c>
      <c r="K9" s="571" t="s">
        <v>198</v>
      </c>
      <c r="L9" s="571" t="s">
        <v>199</v>
      </c>
      <c r="M9" s="569" t="s">
        <v>2</v>
      </c>
      <c r="N9" s="571" t="s">
        <v>198</v>
      </c>
      <c r="O9" s="571" t="s">
        <v>199</v>
      </c>
      <c r="P9" s="569" t="s">
        <v>2</v>
      </c>
      <c r="Q9" s="571" t="s">
        <v>198</v>
      </c>
      <c r="R9" s="571" t="s">
        <v>199</v>
      </c>
      <c r="S9" s="569" t="s">
        <v>2</v>
      </c>
      <c r="T9" s="571" t="s">
        <v>198</v>
      </c>
      <c r="U9" s="571" t="s">
        <v>199</v>
      </c>
      <c r="V9" s="61"/>
      <c r="W9" s="627" t="str">
        <f>IF(ISBLANK('BP1'!$B$18),"Senior Personnel 4",""&amp;'BP1'!$B$18)</f>
        <v>Senior Personnel 4</v>
      </c>
      <c r="X9" s="627"/>
      <c r="Y9" s="627"/>
      <c r="Z9" s="573" t="s">
        <v>288</v>
      </c>
      <c r="AA9" s="573" t="s">
        <v>288</v>
      </c>
      <c r="AB9" s="573" t="s">
        <v>288</v>
      </c>
      <c r="AC9" s="573" t="s">
        <v>288</v>
      </c>
      <c r="AD9" s="573" t="s">
        <v>288</v>
      </c>
      <c r="AE9" s="573" t="s">
        <v>288</v>
      </c>
    </row>
    <row r="10" spans="1:31" ht="15.75">
      <c r="A10" s="595"/>
      <c r="B10" s="596"/>
      <c r="C10" s="597"/>
      <c r="D10" s="570">
        <f>'Cost Share Summary'!Y15</f>
        <v>0</v>
      </c>
      <c r="E10" s="572">
        <f>'Cost Share Summary'!Z15</f>
        <v>0</v>
      </c>
      <c r="F10" s="572">
        <f>'Cost Share Summary'!AA15</f>
        <v>0</v>
      </c>
      <c r="G10" s="570">
        <f>'Cost Share Summary'!AB15</f>
        <v>0</v>
      </c>
      <c r="H10" s="572">
        <f>'Cost Share Summary'!AC15</f>
        <v>0</v>
      </c>
      <c r="I10" s="572">
        <f>'Cost Share Summary'!AD15</f>
        <v>0</v>
      </c>
      <c r="J10" s="570">
        <f>'Cost Share Summary'!AE15</f>
        <v>0</v>
      </c>
      <c r="K10" s="572">
        <f>'Cost Share Summary'!AF15</f>
        <v>0</v>
      </c>
      <c r="L10" s="572">
        <f>'Cost Share Summary'!AG15</f>
        <v>0</v>
      </c>
      <c r="M10" s="570">
        <f>'Cost Share Summary'!AH15</f>
        <v>0</v>
      </c>
      <c r="N10" s="572">
        <f>'Cost Share Summary'!AI15</f>
        <v>0</v>
      </c>
      <c r="O10" s="572">
        <f>'Cost Share Summary'!AJ15</f>
        <v>0</v>
      </c>
      <c r="P10" s="570">
        <f>'Cost Share Summary'!AK15</f>
        <v>0</v>
      </c>
      <c r="Q10" s="572">
        <f>'Cost Share Summary'!AL15</f>
        <v>0</v>
      </c>
      <c r="R10" s="572">
        <f>'Cost Share Summary'!AM15</f>
        <v>0</v>
      </c>
      <c r="S10" s="570">
        <f>D10+G10+J10+M10+P10</f>
        <v>0</v>
      </c>
      <c r="T10" s="572">
        <f>E10+H10+K10+N10+Q10</f>
        <v>0</v>
      </c>
      <c r="U10" s="572">
        <f>F10+I10+L10+O10+R10</f>
        <v>0</v>
      </c>
      <c r="V10" s="61"/>
      <c r="W10" s="627"/>
      <c r="X10" s="627"/>
      <c r="Y10" s="627"/>
      <c r="Z10" s="574">
        <f>'Cost Share Summary'!AU15</f>
        <v>0</v>
      </c>
      <c r="AA10" s="574">
        <f>'Cost Share Summary'!AV15</f>
        <v>0</v>
      </c>
      <c r="AB10" s="574">
        <f>'Cost Share Summary'!AW15</f>
        <v>0</v>
      </c>
      <c r="AC10" s="574">
        <f>'Cost Share Summary'!AX15</f>
        <v>0</v>
      </c>
      <c r="AD10" s="574">
        <f>'Cost Share Summary'!AY15</f>
        <v>0</v>
      </c>
      <c r="AE10" s="574">
        <f>Z10+AA10+AB10+AC10+AD10</f>
        <v>0</v>
      </c>
    </row>
    <row r="11" spans="1:31" ht="15.75">
      <c r="A11" s="592" t="str">
        <f>IF(ISBLANK('BP1'!$B$19),"Senior Personnel 5",""&amp;'BP1'!$B$19)</f>
        <v>Senior Personnel 5</v>
      </c>
      <c r="B11" s="593"/>
      <c r="C11" s="594"/>
      <c r="D11" s="569" t="s">
        <v>2</v>
      </c>
      <c r="E11" s="571" t="s">
        <v>198</v>
      </c>
      <c r="F11" s="571" t="s">
        <v>199</v>
      </c>
      <c r="G11" s="569" t="s">
        <v>2</v>
      </c>
      <c r="H11" s="571" t="s">
        <v>198</v>
      </c>
      <c r="I11" s="571" t="s">
        <v>199</v>
      </c>
      <c r="J11" s="569" t="s">
        <v>2</v>
      </c>
      <c r="K11" s="571" t="s">
        <v>198</v>
      </c>
      <c r="L11" s="571" t="s">
        <v>199</v>
      </c>
      <c r="M11" s="569" t="s">
        <v>2</v>
      </c>
      <c r="N11" s="571" t="s">
        <v>198</v>
      </c>
      <c r="O11" s="571" t="s">
        <v>199</v>
      </c>
      <c r="P11" s="569" t="s">
        <v>2</v>
      </c>
      <c r="Q11" s="571" t="s">
        <v>198</v>
      </c>
      <c r="R11" s="571" t="s">
        <v>199</v>
      </c>
      <c r="S11" s="569" t="s">
        <v>2</v>
      </c>
      <c r="T11" s="571" t="s">
        <v>198</v>
      </c>
      <c r="U11" s="571" t="s">
        <v>199</v>
      </c>
      <c r="V11" s="61"/>
      <c r="W11" s="627" t="str">
        <f>IF(ISBLANK('BP1'!$B$19),"Senior Personnel 5",""&amp;'BP1'!$B$19)</f>
        <v>Senior Personnel 5</v>
      </c>
      <c r="X11" s="627"/>
      <c r="Y11" s="627"/>
      <c r="Z11" s="573" t="s">
        <v>288</v>
      </c>
      <c r="AA11" s="573" t="s">
        <v>288</v>
      </c>
      <c r="AB11" s="573" t="s">
        <v>288</v>
      </c>
      <c r="AC11" s="573" t="s">
        <v>288</v>
      </c>
      <c r="AD11" s="573" t="s">
        <v>288</v>
      </c>
      <c r="AE11" s="573" t="s">
        <v>288</v>
      </c>
    </row>
    <row r="12" spans="1:31" ht="15.75">
      <c r="A12" s="595"/>
      <c r="B12" s="596"/>
      <c r="C12" s="597"/>
      <c r="D12" s="570">
        <f>'Cost Share Summary'!Y17</f>
        <v>0</v>
      </c>
      <c r="E12" s="572">
        <f>'Cost Share Summary'!Z17</f>
        <v>0</v>
      </c>
      <c r="F12" s="572">
        <f>'Cost Share Summary'!AA17</f>
        <v>0</v>
      </c>
      <c r="G12" s="570">
        <f>'Cost Share Summary'!AB17</f>
        <v>0</v>
      </c>
      <c r="H12" s="572">
        <f>'Cost Share Summary'!AC17</f>
        <v>0</v>
      </c>
      <c r="I12" s="572">
        <f>'Cost Share Summary'!AD17</f>
        <v>0</v>
      </c>
      <c r="J12" s="570">
        <f>'Cost Share Summary'!AE17</f>
        <v>0</v>
      </c>
      <c r="K12" s="572">
        <f>'Cost Share Summary'!AF17</f>
        <v>0</v>
      </c>
      <c r="L12" s="572">
        <f>'Cost Share Summary'!AG17</f>
        <v>0</v>
      </c>
      <c r="M12" s="570">
        <f>'Cost Share Summary'!AH17</f>
        <v>0</v>
      </c>
      <c r="N12" s="572">
        <f>'Cost Share Summary'!AI17</f>
        <v>0</v>
      </c>
      <c r="O12" s="572">
        <f>'Cost Share Summary'!AJ17</f>
        <v>0</v>
      </c>
      <c r="P12" s="570">
        <f>'Cost Share Summary'!AK17</f>
        <v>0</v>
      </c>
      <c r="Q12" s="572">
        <f>'Cost Share Summary'!AL17</f>
        <v>0</v>
      </c>
      <c r="R12" s="572">
        <f>'Cost Share Summary'!AM17</f>
        <v>0</v>
      </c>
      <c r="S12" s="570">
        <f>D12+G12+J12+M12+P12</f>
        <v>0</v>
      </c>
      <c r="T12" s="572">
        <f>E12+H12+K12+N12+Q12</f>
        <v>0</v>
      </c>
      <c r="U12" s="572">
        <f>F12+I12+L12+O12+R12</f>
        <v>0</v>
      </c>
      <c r="V12" s="61"/>
      <c r="W12" s="627"/>
      <c r="X12" s="627"/>
      <c r="Y12" s="627"/>
      <c r="Z12" s="574">
        <f>'Cost Share Summary'!AU17</f>
        <v>0</v>
      </c>
      <c r="AA12" s="574">
        <f>'Cost Share Summary'!AV17</f>
        <v>0</v>
      </c>
      <c r="AB12" s="574">
        <f>'Cost Share Summary'!AW17</f>
        <v>0</v>
      </c>
      <c r="AC12" s="574">
        <f>'Cost Share Summary'!AX17</f>
        <v>0</v>
      </c>
      <c r="AD12" s="574">
        <f>'Cost Share Summary'!AY17</f>
        <v>0</v>
      </c>
      <c r="AE12" s="574">
        <f>Z12+AA12+AB12+AC12+AD12</f>
        <v>0</v>
      </c>
    </row>
    <row r="13" spans="1:31" ht="15.75">
      <c r="A13" s="592" t="str">
        <f>IF(ISBLANK('BP1'!$B$20),"Senior Personnel 6",""&amp;'BP1'!$B$20)</f>
        <v>Senior Personnel 6</v>
      </c>
      <c r="B13" s="593"/>
      <c r="C13" s="594"/>
      <c r="D13" s="569" t="s">
        <v>2</v>
      </c>
      <c r="E13" s="571" t="s">
        <v>198</v>
      </c>
      <c r="F13" s="571" t="s">
        <v>199</v>
      </c>
      <c r="G13" s="569" t="s">
        <v>2</v>
      </c>
      <c r="H13" s="571" t="s">
        <v>198</v>
      </c>
      <c r="I13" s="571" t="s">
        <v>199</v>
      </c>
      <c r="J13" s="569" t="s">
        <v>2</v>
      </c>
      <c r="K13" s="571" t="s">
        <v>198</v>
      </c>
      <c r="L13" s="571" t="s">
        <v>199</v>
      </c>
      <c r="M13" s="569" t="s">
        <v>2</v>
      </c>
      <c r="N13" s="571" t="s">
        <v>198</v>
      </c>
      <c r="O13" s="571" t="s">
        <v>199</v>
      </c>
      <c r="P13" s="569" t="s">
        <v>2</v>
      </c>
      <c r="Q13" s="571" t="s">
        <v>198</v>
      </c>
      <c r="R13" s="571" t="s">
        <v>199</v>
      </c>
      <c r="S13" s="569" t="s">
        <v>2</v>
      </c>
      <c r="T13" s="571" t="s">
        <v>198</v>
      </c>
      <c r="U13" s="571" t="s">
        <v>199</v>
      </c>
      <c r="V13" s="61"/>
      <c r="W13" s="627" t="str">
        <f>IF(ISBLANK('BP1'!$B$20),"Senior Personnel 6",""&amp;'BP1'!$B$20)</f>
        <v>Senior Personnel 6</v>
      </c>
      <c r="X13" s="627"/>
      <c r="Y13" s="627"/>
      <c r="Z13" s="573" t="s">
        <v>288</v>
      </c>
      <c r="AA13" s="573" t="s">
        <v>288</v>
      </c>
      <c r="AB13" s="573" t="s">
        <v>288</v>
      </c>
      <c r="AC13" s="573" t="s">
        <v>288</v>
      </c>
      <c r="AD13" s="573" t="s">
        <v>288</v>
      </c>
      <c r="AE13" s="573" t="s">
        <v>288</v>
      </c>
    </row>
    <row r="14" spans="1:31" ht="15.75">
      <c r="A14" s="595"/>
      <c r="B14" s="596"/>
      <c r="C14" s="597"/>
      <c r="D14" s="570">
        <f>'Cost Share Summary'!Y19</f>
        <v>0</v>
      </c>
      <c r="E14" s="572">
        <f>'Cost Share Summary'!Z19</f>
        <v>0</v>
      </c>
      <c r="F14" s="572">
        <f>'Cost Share Summary'!AA19</f>
        <v>0</v>
      </c>
      <c r="G14" s="570">
        <f>'Cost Share Summary'!AB19</f>
        <v>0</v>
      </c>
      <c r="H14" s="572">
        <f>'Cost Share Summary'!AC19</f>
        <v>0</v>
      </c>
      <c r="I14" s="572">
        <f>'Cost Share Summary'!AD19</f>
        <v>0</v>
      </c>
      <c r="J14" s="570">
        <f>'Cost Share Summary'!AE19</f>
        <v>0</v>
      </c>
      <c r="K14" s="572">
        <f>'Cost Share Summary'!AF19</f>
        <v>0</v>
      </c>
      <c r="L14" s="572">
        <f>'Cost Share Summary'!AG19</f>
        <v>0</v>
      </c>
      <c r="M14" s="570">
        <f>'Cost Share Summary'!AH19</f>
        <v>0</v>
      </c>
      <c r="N14" s="572">
        <f>'Cost Share Summary'!AI19</f>
        <v>0</v>
      </c>
      <c r="O14" s="572">
        <f>'Cost Share Summary'!AJ19</f>
        <v>0</v>
      </c>
      <c r="P14" s="570">
        <f>'Cost Share Summary'!AK19</f>
        <v>0</v>
      </c>
      <c r="Q14" s="572">
        <f>'Cost Share Summary'!AL19</f>
        <v>0</v>
      </c>
      <c r="R14" s="572">
        <f>'Cost Share Summary'!AM19</f>
        <v>0</v>
      </c>
      <c r="S14" s="570">
        <f>D14+G14+J14+M14+P14</f>
        <v>0</v>
      </c>
      <c r="T14" s="572">
        <f>E14+H14+K14+N14+Q14</f>
        <v>0</v>
      </c>
      <c r="U14" s="572">
        <f>F14+I14+L14+O14+R14</f>
        <v>0</v>
      </c>
      <c r="V14" s="61"/>
      <c r="W14" s="627"/>
      <c r="X14" s="627"/>
      <c r="Y14" s="627"/>
      <c r="Z14" s="574">
        <f>'Cost Share Summary'!AU19</f>
        <v>0</v>
      </c>
      <c r="AA14" s="574">
        <f>'Cost Share Summary'!AV19</f>
        <v>0</v>
      </c>
      <c r="AB14" s="574">
        <f>'Cost Share Summary'!AW19</f>
        <v>0</v>
      </c>
      <c r="AC14" s="574">
        <f>'Cost Share Summary'!AX19</f>
        <v>0</v>
      </c>
      <c r="AD14" s="574">
        <f>'Cost Share Summary'!AY19</f>
        <v>0</v>
      </c>
      <c r="AE14" s="574">
        <f>Z14+AA14+AB14+AC14+AD14</f>
        <v>0</v>
      </c>
    </row>
    <row r="15" spans="1:31" ht="15.75">
      <c r="A15" s="592" t="str">
        <f>IF(ISBLANK('BP1'!$B$21),"Senior Personnel 7",""&amp;'BP1'!$B$21)</f>
        <v>Senior Personnel 7</v>
      </c>
      <c r="B15" s="593"/>
      <c r="C15" s="594"/>
      <c r="D15" s="569" t="s">
        <v>2</v>
      </c>
      <c r="E15" s="571" t="s">
        <v>198</v>
      </c>
      <c r="F15" s="571" t="s">
        <v>199</v>
      </c>
      <c r="G15" s="569" t="s">
        <v>2</v>
      </c>
      <c r="H15" s="571" t="s">
        <v>198</v>
      </c>
      <c r="I15" s="571" t="s">
        <v>199</v>
      </c>
      <c r="J15" s="569" t="s">
        <v>2</v>
      </c>
      <c r="K15" s="571" t="s">
        <v>198</v>
      </c>
      <c r="L15" s="571" t="s">
        <v>199</v>
      </c>
      <c r="M15" s="569" t="s">
        <v>2</v>
      </c>
      <c r="N15" s="571" t="s">
        <v>198</v>
      </c>
      <c r="O15" s="571" t="s">
        <v>199</v>
      </c>
      <c r="P15" s="569" t="s">
        <v>2</v>
      </c>
      <c r="Q15" s="571" t="s">
        <v>198</v>
      </c>
      <c r="R15" s="571" t="s">
        <v>199</v>
      </c>
      <c r="S15" s="569" t="s">
        <v>2</v>
      </c>
      <c r="T15" s="571" t="s">
        <v>198</v>
      </c>
      <c r="U15" s="571" t="s">
        <v>199</v>
      </c>
      <c r="V15" s="61"/>
      <c r="W15" s="627" t="str">
        <f>IF(ISBLANK('BP1'!$B$21),"Senior Personnel 7",""&amp;'BP1'!$B$21)</f>
        <v>Senior Personnel 7</v>
      </c>
      <c r="X15" s="627"/>
      <c r="Y15" s="627"/>
      <c r="Z15" s="573" t="s">
        <v>288</v>
      </c>
      <c r="AA15" s="573" t="s">
        <v>288</v>
      </c>
      <c r="AB15" s="573" t="s">
        <v>288</v>
      </c>
      <c r="AC15" s="573" t="s">
        <v>288</v>
      </c>
      <c r="AD15" s="573" t="s">
        <v>288</v>
      </c>
      <c r="AE15" s="573" t="s">
        <v>288</v>
      </c>
    </row>
    <row r="16" spans="1:31" ht="15.75">
      <c r="A16" s="595"/>
      <c r="B16" s="596"/>
      <c r="C16" s="597"/>
      <c r="D16" s="570">
        <f>'Cost Share Summary'!Y21</f>
        <v>0</v>
      </c>
      <c r="E16" s="572">
        <f>'Cost Share Summary'!Z21</f>
        <v>0</v>
      </c>
      <c r="F16" s="572">
        <f>'Cost Share Summary'!AA21</f>
        <v>0</v>
      </c>
      <c r="G16" s="570">
        <f>'Cost Share Summary'!AB21</f>
        <v>0</v>
      </c>
      <c r="H16" s="572">
        <f>'Cost Share Summary'!AC21</f>
        <v>0</v>
      </c>
      <c r="I16" s="572">
        <f>'Cost Share Summary'!AD21</f>
        <v>0</v>
      </c>
      <c r="J16" s="570">
        <f>'Cost Share Summary'!AE21</f>
        <v>0</v>
      </c>
      <c r="K16" s="572">
        <f>'Cost Share Summary'!AF21</f>
        <v>0</v>
      </c>
      <c r="L16" s="572">
        <f>'Cost Share Summary'!AG21</f>
        <v>0</v>
      </c>
      <c r="M16" s="570">
        <f>'Cost Share Summary'!AH21</f>
        <v>0</v>
      </c>
      <c r="N16" s="572">
        <f>'Cost Share Summary'!AI21</f>
        <v>0</v>
      </c>
      <c r="O16" s="572">
        <f>'Cost Share Summary'!AJ21</f>
        <v>0</v>
      </c>
      <c r="P16" s="570">
        <f>'Cost Share Summary'!AK21</f>
        <v>0</v>
      </c>
      <c r="Q16" s="572">
        <f>'Cost Share Summary'!AL21</f>
        <v>0</v>
      </c>
      <c r="R16" s="572">
        <f>'Cost Share Summary'!AM21</f>
        <v>0</v>
      </c>
      <c r="S16" s="570">
        <f>D16+G16+J16+M16+P16</f>
        <v>0</v>
      </c>
      <c r="T16" s="572">
        <f>E16+H16+K16+N16+Q16</f>
        <v>0</v>
      </c>
      <c r="U16" s="572">
        <f>F16+I16+L16+O16+R16</f>
        <v>0</v>
      </c>
      <c r="V16" s="61"/>
      <c r="W16" s="627"/>
      <c r="X16" s="627"/>
      <c r="Y16" s="627"/>
      <c r="Z16" s="574">
        <f>'Cost Share Summary'!AU21</f>
        <v>0</v>
      </c>
      <c r="AA16" s="574">
        <f>'Cost Share Summary'!AV21</f>
        <v>0</v>
      </c>
      <c r="AB16" s="574">
        <f>'Cost Share Summary'!AW21</f>
        <v>0</v>
      </c>
      <c r="AC16" s="574">
        <f>'Cost Share Summary'!AX21</f>
        <v>0</v>
      </c>
      <c r="AD16" s="574">
        <f>'Cost Share Summary'!AY21</f>
        <v>0</v>
      </c>
      <c r="AE16" s="574">
        <f>Z16+AA16+AB16+AC16+AD16</f>
        <v>0</v>
      </c>
    </row>
    <row r="17" spans="1:31" ht="15.75">
      <c r="A17" s="592" t="str">
        <f>IF(ISBLANK('BP1'!$B$22),"Senior Personnel 8",""&amp;'BP1'!$B$22)</f>
        <v>Senior Personnel 8</v>
      </c>
      <c r="B17" s="593"/>
      <c r="C17" s="594"/>
      <c r="D17" s="569" t="s">
        <v>2</v>
      </c>
      <c r="E17" s="571" t="s">
        <v>198</v>
      </c>
      <c r="F17" s="571" t="s">
        <v>199</v>
      </c>
      <c r="G17" s="569" t="s">
        <v>2</v>
      </c>
      <c r="H17" s="571" t="s">
        <v>198</v>
      </c>
      <c r="I17" s="571" t="s">
        <v>199</v>
      </c>
      <c r="J17" s="569" t="s">
        <v>2</v>
      </c>
      <c r="K17" s="571" t="s">
        <v>198</v>
      </c>
      <c r="L17" s="571" t="s">
        <v>199</v>
      </c>
      <c r="M17" s="569" t="s">
        <v>2</v>
      </c>
      <c r="N17" s="571" t="s">
        <v>198</v>
      </c>
      <c r="O17" s="571" t="s">
        <v>199</v>
      </c>
      <c r="P17" s="569" t="s">
        <v>2</v>
      </c>
      <c r="Q17" s="571" t="s">
        <v>198</v>
      </c>
      <c r="R17" s="571" t="s">
        <v>199</v>
      </c>
      <c r="S17" s="569" t="s">
        <v>2</v>
      </c>
      <c r="T17" s="571" t="s">
        <v>198</v>
      </c>
      <c r="U17" s="571" t="s">
        <v>199</v>
      </c>
      <c r="V17" s="61"/>
      <c r="W17" s="627" t="str">
        <f>IF(ISBLANK('BP1'!$B$22),"Senior Personnel 8",""&amp;'BP1'!$B$22)</f>
        <v>Senior Personnel 8</v>
      </c>
      <c r="X17" s="627"/>
      <c r="Y17" s="627"/>
      <c r="Z17" s="573" t="s">
        <v>288</v>
      </c>
      <c r="AA17" s="573" t="s">
        <v>288</v>
      </c>
      <c r="AB17" s="573" t="s">
        <v>288</v>
      </c>
      <c r="AC17" s="573" t="s">
        <v>288</v>
      </c>
      <c r="AD17" s="573" t="s">
        <v>288</v>
      </c>
      <c r="AE17" s="573" t="s">
        <v>288</v>
      </c>
    </row>
    <row r="18" spans="1:31" ht="15.75">
      <c r="A18" s="595"/>
      <c r="B18" s="596"/>
      <c r="C18" s="597"/>
      <c r="D18" s="570">
        <f>'Cost Share Summary'!Y23</f>
        <v>0</v>
      </c>
      <c r="E18" s="572">
        <f>'Cost Share Summary'!Z23</f>
        <v>0</v>
      </c>
      <c r="F18" s="572">
        <f>'Cost Share Summary'!AA23</f>
        <v>0</v>
      </c>
      <c r="G18" s="570">
        <f>'Cost Share Summary'!AB23</f>
        <v>0</v>
      </c>
      <c r="H18" s="572">
        <f>'Cost Share Summary'!AC23</f>
        <v>0</v>
      </c>
      <c r="I18" s="572">
        <f>'Cost Share Summary'!AD23</f>
        <v>0</v>
      </c>
      <c r="J18" s="570">
        <f>'Cost Share Summary'!AE23</f>
        <v>0</v>
      </c>
      <c r="K18" s="572">
        <f>'Cost Share Summary'!AF23</f>
        <v>0</v>
      </c>
      <c r="L18" s="572">
        <f>'Cost Share Summary'!AG23</f>
        <v>0</v>
      </c>
      <c r="M18" s="570">
        <f>'Cost Share Summary'!AH23</f>
        <v>0</v>
      </c>
      <c r="N18" s="572">
        <f>'Cost Share Summary'!AI23</f>
        <v>0</v>
      </c>
      <c r="O18" s="572">
        <f>'Cost Share Summary'!AJ23</f>
        <v>0</v>
      </c>
      <c r="P18" s="570">
        <f>'Cost Share Summary'!AK23</f>
        <v>0</v>
      </c>
      <c r="Q18" s="572">
        <f>'Cost Share Summary'!AL23</f>
        <v>0</v>
      </c>
      <c r="R18" s="572">
        <f>'Cost Share Summary'!AM23</f>
        <v>0</v>
      </c>
      <c r="S18" s="570">
        <f>D18+G18+J18+M18+P18</f>
        <v>0</v>
      </c>
      <c r="T18" s="572">
        <f>E18+H18+K18+N18+Q18</f>
        <v>0</v>
      </c>
      <c r="U18" s="572">
        <f>F18+I18+L18+O18+R18</f>
        <v>0</v>
      </c>
      <c r="V18" s="61"/>
      <c r="W18" s="627"/>
      <c r="X18" s="627"/>
      <c r="Y18" s="627"/>
      <c r="Z18" s="574">
        <f>'Cost Share Summary'!AU23</f>
        <v>0</v>
      </c>
      <c r="AA18" s="574">
        <f>'Cost Share Summary'!AV23</f>
        <v>0</v>
      </c>
      <c r="AB18" s="574">
        <f>'Cost Share Summary'!AW23</f>
        <v>0</v>
      </c>
      <c r="AC18" s="574">
        <f>'Cost Share Summary'!AX23</f>
        <v>0</v>
      </c>
      <c r="AD18" s="574">
        <f>'Cost Share Summary'!AY23</f>
        <v>0</v>
      </c>
      <c r="AE18" s="574">
        <f>Z18+AA18+AB18+AC18+AD18</f>
        <v>0</v>
      </c>
    </row>
    <row r="19" spans="1:31" ht="15.75">
      <c r="A19" s="592" t="str">
        <f>IF(ISBLANK('BP1'!$B$23),"Senior Personnel 9",""&amp;'BP1'!$B$23)</f>
        <v>Senior Personnel 9</v>
      </c>
      <c r="B19" s="593"/>
      <c r="C19" s="594"/>
      <c r="D19" s="569" t="s">
        <v>2</v>
      </c>
      <c r="E19" s="571" t="s">
        <v>198</v>
      </c>
      <c r="F19" s="571" t="s">
        <v>199</v>
      </c>
      <c r="G19" s="569" t="s">
        <v>2</v>
      </c>
      <c r="H19" s="571" t="s">
        <v>198</v>
      </c>
      <c r="I19" s="571" t="s">
        <v>199</v>
      </c>
      <c r="J19" s="569" t="s">
        <v>2</v>
      </c>
      <c r="K19" s="571" t="s">
        <v>198</v>
      </c>
      <c r="L19" s="571" t="s">
        <v>199</v>
      </c>
      <c r="M19" s="569" t="s">
        <v>2</v>
      </c>
      <c r="N19" s="571" t="s">
        <v>198</v>
      </c>
      <c r="O19" s="571" t="s">
        <v>199</v>
      </c>
      <c r="P19" s="569" t="s">
        <v>2</v>
      </c>
      <c r="Q19" s="571" t="s">
        <v>198</v>
      </c>
      <c r="R19" s="571" t="s">
        <v>199</v>
      </c>
      <c r="S19" s="569" t="s">
        <v>2</v>
      </c>
      <c r="T19" s="571" t="s">
        <v>198</v>
      </c>
      <c r="U19" s="571" t="s">
        <v>199</v>
      </c>
      <c r="V19" s="61"/>
      <c r="W19" s="627" t="str">
        <f>IF(ISBLANK('BP1'!$B$23),"Senior Personnel 9",""&amp;'BP1'!$B$23)</f>
        <v>Senior Personnel 9</v>
      </c>
      <c r="X19" s="627"/>
      <c r="Y19" s="627"/>
      <c r="Z19" s="573" t="s">
        <v>288</v>
      </c>
      <c r="AA19" s="573" t="s">
        <v>288</v>
      </c>
      <c r="AB19" s="573" t="s">
        <v>288</v>
      </c>
      <c r="AC19" s="573" t="s">
        <v>288</v>
      </c>
      <c r="AD19" s="573" t="s">
        <v>288</v>
      </c>
      <c r="AE19" s="573" t="s">
        <v>288</v>
      </c>
    </row>
    <row r="20" spans="1:31" ht="15.75">
      <c r="A20" s="595"/>
      <c r="B20" s="596"/>
      <c r="C20" s="597"/>
      <c r="D20" s="570">
        <f>'Cost Share Summary'!Y25</f>
        <v>0</v>
      </c>
      <c r="E20" s="572">
        <f>'Cost Share Summary'!Z25</f>
        <v>0</v>
      </c>
      <c r="F20" s="572">
        <f>'Cost Share Summary'!AA25</f>
        <v>0</v>
      </c>
      <c r="G20" s="570">
        <f>'Cost Share Summary'!AB25</f>
        <v>0</v>
      </c>
      <c r="H20" s="572">
        <f>'Cost Share Summary'!AC25</f>
        <v>0</v>
      </c>
      <c r="I20" s="572">
        <f>'Cost Share Summary'!AD25</f>
        <v>0</v>
      </c>
      <c r="J20" s="570">
        <f>'Cost Share Summary'!AE25</f>
        <v>0</v>
      </c>
      <c r="K20" s="572">
        <f>'Cost Share Summary'!AF25</f>
        <v>0</v>
      </c>
      <c r="L20" s="572">
        <f>'Cost Share Summary'!AG25</f>
        <v>0</v>
      </c>
      <c r="M20" s="570">
        <f>'Cost Share Summary'!AH25</f>
        <v>0</v>
      </c>
      <c r="N20" s="572">
        <f>'Cost Share Summary'!AI25</f>
        <v>0</v>
      </c>
      <c r="O20" s="572">
        <f>'Cost Share Summary'!AJ25</f>
        <v>0</v>
      </c>
      <c r="P20" s="570">
        <f>'Cost Share Summary'!AK25</f>
        <v>0</v>
      </c>
      <c r="Q20" s="572">
        <f>'Cost Share Summary'!AL25</f>
        <v>0</v>
      </c>
      <c r="R20" s="572">
        <f>'Cost Share Summary'!AM25</f>
        <v>0</v>
      </c>
      <c r="S20" s="570">
        <f>D20+G20+J20+M20+P20</f>
        <v>0</v>
      </c>
      <c r="T20" s="572">
        <f>E20+H20+K20+N20+Q20</f>
        <v>0</v>
      </c>
      <c r="U20" s="572">
        <f>F20+I20+L20+O20+R20</f>
        <v>0</v>
      </c>
      <c r="V20" s="61"/>
      <c r="W20" s="627"/>
      <c r="X20" s="627"/>
      <c r="Y20" s="627"/>
      <c r="Z20" s="574">
        <f>'Cost Share Summary'!AU25</f>
        <v>0</v>
      </c>
      <c r="AA20" s="574">
        <f>'Cost Share Summary'!AV25</f>
        <v>0</v>
      </c>
      <c r="AB20" s="574">
        <f>'Cost Share Summary'!AW25</f>
        <v>0</v>
      </c>
      <c r="AC20" s="574">
        <f>'Cost Share Summary'!AX25</f>
        <v>0</v>
      </c>
      <c r="AD20" s="574">
        <f>'Cost Share Summary'!AY25</f>
        <v>0</v>
      </c>
      <c r="AE20" s="574">
        <f>Z20+AA20+AB20+AC20+AD20</f>
        <v>0</v>
      </c>
    </row>
    <row r="21" spans="1:31" ht="15.75">
      <c r="A21" s="592" t="str">
        <f>IF(ISBLANK('BP1'!$B$24),"Senior Personnel 10",""&amp;'BP1'!$B$24)</f>
        <v>Senior Personnel 10</v>
      </c>
      <c r="B21" s="593"/>
      <c r="C21" s="594"/>
      <c r="D21" s="569" t="s">
        <v>2</v>
      </c>
      <c r="E21" s="571" t="s">
        <v>198</v>
      </c>
      <c r="F21" s="571" t="s">
        <v>199</v>
      </c>
      <c r="G21" s="569" t="s">
        <v>2</v>
      </c>
      <c r="H21" s="571" t="s">
        <v>198</v>
      </c>
      <c r="I21" s="571" t="s">
        <v>199</v>
      </c>
      <c r="J21" s="569" t="s">
        <v>2</v>
      </c>
      <c r="K21" s="571" t="s">
        <v>198</v>
      </c>
      <c r="L21" s="571" t="s">
        <v>199</v>
      </c>
      <c r="M21" s="569" t="s">
        <v>2</v>
      </c>
      <c r="N21" s="571" t="s">
        <v>198</v>
      </c>
      <c r="O21" s="571" t="s">
        <v>199</v>
      </c>
      <c r="P21" s="569" t="s">
        <v>2</v>
      </c>
      <c r="Q21" s="571" t="s">
        <v>198</v>
      </c>
      <c r="R21" s="571" t="s">
        <v>199</v>
      </c>
      <c r="S21" s="569" t="s">
        <v>2</v>
      </c>
      <c r="T21" s="571" t="s">
        <v>198</v>
      </c>
      <c r="U21" s="571" t="s">
        <v>199</v>
      </c>
      <c r="V21" s="61"/>
      <c r="W21" s="627" t="str">
        <f>IF(ISBLANK('BP1'!$B$24),"Senior Personnel 10",""&amp;'BP1'!$B$24)</f>
        <v>Senior Personnel 10</v>
      </c>
      <c r="X21" s="627"/>
      <c r="Y21" s="627"/>
      <c r="Z21" s="573" t="s">
        <v>288</v>
      </c>
      <c r="AA21" s="573" t="s">
        <v>288</v>
      </c>
      <c r="AB21" s="573" t="s">
        <v>288</v>
      </c>
      <c r="AC21" s="573" t="s">
        <v>288</v>
      </c>
      <c r="AD21" s="573" t="s">
        <v>288</v>
      </c>
      <c r="AE21" s="573" t="s">
        <v>288</v>
      </c>
    </row>
    <row r="22" spans="1:31" ht="15.75">
      <c r="A22" s="595"/>
      <c r="B22" s="596"/>
      <c r="C22" s="597"/>
      <c r="D22" s="570">
        <f>'Cost Share Summary'!Y27</f>
        <v>0</v>
      </c>
      <c r="E22" s="572">
        <f>'Cost Share Summary'!Z27</f>
        <v>0</v>
      </c>
      <c r="F22" s="572">
        <f>'Cost Share Summary'!AA27</f>
        <v>0</v>
      </c>
      <c r="G22" s="570">
        <f>'Cost Share Summary'!AB27</f>
        <v>0</v>
      </c>
      <c r="H22" s="572">
        <f>'Cost Share Summary'!AC27</f>
        <v>0</v>
      </c>
      <c r="I22" s="572">
        <f>'Cost Share Summary'!AD27</f>
        <v>0</v>
      </c>
      <c r="J22" s="570">
        <f>'Cost Share Summary'!AE27</f>
        <v>0</v>
      </c>
      <c r="K22" s="572">
        <f>'Cost Share Summary'!AF27</f>
        <v>0</v>
      </c>
      <c r="L22" s="572">
        <f>'Cost Share Summary'!AG27</f>
        <v>0</v>
      </c>
      <c r="M22" s="570">
        <f>'Cost Share Summary'!AH27</f>
        <v>0</v>
      </c>
      <c r="N22" s="572">
        <f>'Cost Share Summary'!AI27</f>
        <v>0</v>
      </c>
      <c r="O22" s="572">
        <f>'Cost Share Summary'!AJ27</f>
        <v>0</v>
      </c>
      <c r="P22" s="570">
        <f>'Cost Share Summary'!AK27</f>
        <v>0</v>
      </c>
      <c r="Q22" s="572">
        <f>'Cost Share Summary'!AL27</f>
        <v>0</v>
      </c>
      <c r="R22" s="572">
        <f>'Cost Share Summary'!AM27</f>
        <v>0</v>
      </c>
      <c r="S22" s="570">
        <f>D22+G22+J22+M22+P22</f>
        <v>0</v>
      </c>
      <c r="T22" s="572">
        <f>E22+H22+K22+N22+Q22</f>
        <v>0</v>
      </c>
      <c r="U22" s="572">
        <f>F22+I22+L22+O22+R22</f>
        <v>0</v>
      </c>
      <c r="V22" s="61"/>
      <c r="W22" s="627"/>
      <c r="X22" s="627"/>
      <c r="Y22" s="627"/>
      <c r="Z22" s="574">
        <f>'Cost Share Summary'!AU27</f>
        <v>0</v>
      </c>
      <c r="AA22" s="574">
        <f>'Cost Share Summary'!AV27</f>
        <v>0</v>
      </c>
      <c r="AB22" s="574">
        <f>'Cost Share Summary'!AW27</f>
        <v>0</v>
      </c>
      <c r="AC22" s="574">
        <f>'Cost Share Summary'!AX27</f>
        <v>0</v>
      </c>
      <c r="AD22" s="574">
        <f>'Cost Share Summary'!AY27</f>
        <v>0</v>
      </c>
      <c r="AE22" s="574">
        <f>Z22+AA22+AB22+AC22+AD22</f>
        <v>0</v>
      </c>
    </row>
    <row r="23" spans="1:31" ht="15.75">
      <c r="A23" s="592" t="str">
        <f>IF(ISBLANK('BP1'!$B$25),"Senior Personnel 11",""&amp;'BP1'!$B$25)</f>
        <v>Senior Personnel 11</v>
      </c>
      <c r="B23" s="593"/>
      <c r="C23" s="594"/>
      <c r="D23" s="569" t="s">
        <v>2</v>
      </c>
      <c r="E23" s="571" t="s">
        <v>198</v>
      </c>
      <c r="F23" s="571" t="s">
        <v>199</v>
      </c>
      <c r="G23" s="569" t="s">
        <v>2</v>
      </c>
      <c r="H23" s="571" t="s">
        <v>198</v>
      </c>
      <c r="I23" s="571" t="s">
        <v>199</v>
      </c>
      <c r="J23" s="569" t="s">
        <v>2</v>
      </c>
      <c r="K23" s="571" t="s">
        <v>198</v>
      </c>
      <c r="L23" s="571" t="s">
        <v>199</v>
      </c>
      <c r="M23" s="569" t="s">
        <v>2</v>
      </c>
      <c r="N23" s="571" t="s">
        <v>198</v>
      </c>
      <c r="O23" s="571" t="s">
        <v>199</v>
      </c>
      <c r="P23" s="569" t="s">
        <v>2</v>
      </c>
      <c r="Q23" s="571" t="s">
        <v>198</v>
      </c>
      <c r="R23" s="571" t="s">
        <v>199</v>
      </c>
      <c r="S23" s="569" t="s">
        <v>2</v>
      </c>
      <c r="T23" s="571" t="s">
        <v>198</v>
      </c>
      <c r="U23" s="571" t="s">
        <v>199</v>
      </c>
      <c r="V23" s="61"/>
      <c r="W23" s="627" t="str">
        <f>IF(ISBLANK('BP1'!$B$25),"Senior Personnel 11",""&amp;'BP1'!$B$25)</f>
        <v>Senior Personnel 11</v>
      </c>
      <c r="X23" s="627"/>
      <c r="Y23" s="627"/>
      <c r="Z23" s="573" t="s">
        <v>288</v>
      </c>
      <c r="AA23" s="573" t="s">
        <v>288</v>
      </c>
      <c r="AB23" s="573" t="s">
        <v>288</v>
      </c>
      <c r="AC23" s="573" t="s">
        <v>288</v>
      </c>
      <c r="AD23" s="573" t="s">
        <v>288</v>
      </c>
      <c r="AE23" s="573" t="s">
        <v>288</v>
      </c>
    </row>
    <row r="24" spans="1:31" ht="15.75">
      <c r="A24" s="595"/>
      <c r="B24" s="596"/>
      <c r="C24" s="597"/>
      <c r="D24" s="570">
        <f>'Cost Share Summary'!Y29</f>
        <v>0</v>
      </c>
      <c r="E24" s="572">
        <f>'Cost Share Summary'!Z29</f>
        <v>0</v>
      </c>
      <c r="F24" s="572">
        <f>'Cost Share Summary'!AA29</f>
        <v>0</v>
      </c>
      <c r="G24" s="570">
        <f>'Cost Share Summary'!AB29</f>
        <v>0</v>
      </c>
      <c r="H24" s="572">
        <f>'Cost Share Summary'!AC29</f>
        <v>0</v>
      </c>
      <c r="I24" s="572">
        <f>'Cost Share Summary'!AD29</f>
        <v>0</v>
      </c>
      <c r="J24" s="570">
        <f>'Cost Share Summary'!AE29</f>
        <v>0</v>
      </c>
      <c r="K24" s="572">
        <f>'Cost Share Summary'!AF29</f>
        <v>0</v>
      </c>
      <c r="L24" s="572">
        <f>'Cost Share Summary'!AG29</f>
        <v>0</v>
      </c>
      <c r="M24" s="570">
        <f>'Cost Share Summary'!AH29</f>
        <v>0</v>
      </c>
      <c r="N24" s="572">
        <f>'Cost Share Summary'!AI29</f>
        <v>0</v>
      </c>
      <c r="O24" s="572">
        <f>'Cost Share Summary'!AJ29</f>
        <v>0</v>
      </c>
      <c r="P24" s="570">
        <f>'Cost Share Summary'!AK29</f>
        <v>0</v>
      </c>
      <c r="Q24" s="572">
        <f>'Cost Share Summary'!AL29</f>
        <v>0</v>
      </c>
      <c r="R24" s="572">
        <f>'Cost Share Summary'!AM29</f>
        <v>0</v>
      </c>
      <c r="S24" s="570">
        <f>D24+G24+J24+M24+P24</f>
        <v>0</v>
      </c>
      <c r="T24" s="572">
        <f>E24+H24+K24+N24+Q24</f>
        <v>0</v>
      </c>
      <c r="U24" s="572">
        <f>F24+I24+L24+O24+R24</f>
        <v>0</v>
      </c>
      <c r="V24" s="61"/>
      <c r="W24" s="627"/>
      <c r="X24" s="627"/>
      <c r="Y24" s="627"/>
      <c r="Z24" s="574">
        <f>'Cost Share Summary'!AU29</f>
        <v>0</v>
      </c>
      <c r="AA24" s="574">
        <f>'Cost Share Summary'!AV29</f>
        <v>0</v>
      </c>
      <c r="AB24" s="574">
        <f>'Cost Share Summary'!AW29</f>
        <v>0</v>
      </c>
      <c r="AC24" s="574">
        <f>'Cost Share Summary'!AX29</f>
        <v>0</v>
      </c>
      <c r="AD24" s="574">
        <f>'Cost Share Summary'!AY29</f>
        <v>0</v>
      </c>
      <c r="AE24" s="574">
        <f>Z24+AA24+AB24+AC24+AD24</f>
        <v>0</v>
      </c>
    </row>
    <row r="25" spans="1:31" ht="15.75">
      <c r="A25" s="592" t="str">
        <f>IF(ISBLANK('BP1'!$B$26),"Senior Personnel 12",""&amp;'BP1'!$B$26)</f>
        <v>Senior Personnel 12</v>
      </c>
      <c r="B25" s="593"/>
      <c r="C25" s="594"/>
      <c r="D25" s="569" t="s">
        <v>2</v>
      </c>
      <c r="E25" s="571" t="s">
        <v>198</v>
      </c>
      <c r="F25" s="571" t="s">
        <v>199</v>
      </c>
      <c r="G25" s="569" t="s">
        <v>2</v>
      </c>
      <c r="H25" s="571" t="s">
        <v>198</v>
      </c>
      <c r="I25" s="571" t="s">
        <v>199</v>
      </c>
      <c r="J25" s="569" t="s">
        <v>2</v>
      </c>
      <c r="K25" s="571" t="s">
        <v>198</v>
      </c>
      <c r="L25" s="571" t="s">
        <v>199</v>
      </c>
      <c r="M25" s="569" t="s">
        <v>2</v>
      </c>
      <c r="N25" s="571" t="s">
        <v>198</v>
      </c>
      <c r="O25" s="571" t="s">
        <v>199</v>
      </c>
      <c r="P25" s="569" t="s">
        <v>2</v>
      </c>
      <c r="Q25" s="571" t="s">
        <v>198</v>
      </c>
      <c r="R25" s="571" t="s">
        <v>199</v>
      </c>
      <c r="S25" s="569" t="s">
        <v>2</v>
      </c>
      <c r="T25" s="571" t="s">
        <v>198</v>
      </c>
      <c r="U25" s="571" t="s">
        <v>199</v>
      </c>
      <c r="V25" s="61"/>
      <c r="W25" s="627" t="str">
        <f>IF(ISBLANK('BP1'!$B$26),"Senior Personnel 12",""&amp;'BP1'!$B$26)</f>
        <v>Senior Personnel 12</v>
      </c>
      <c r="X25" s="627"/>
      <c r="Y25" s="627"/>
      <c r="Z25" s="573" t="s">
        <v>288</v>
      </c>
      <c r="AA25" s="573" t="s">
        <v>288</v>
      </c>
      <c r="AB25" s="573" t="s">
        <v>288</v>
      </c>
      <c r="AC25" s="573" t="s">
        <v>288</v>
      </c>
      <c r="AD25" s="573" t="s">
        <v>288</v>
      </c>
      <c r="AE25" s="573" t="s">
        <v>288</v>
      </c>
    </row>
    <row r="26" spans="1:31" ht="15.75">
      <c r="A26" s="595"/>
      <c r="B26" s="596"/>
      <c r="C26" s="597"/>
      <c r="D26" s="570">
        <f>'Cost Share Summary'!Y31</f>
        <v>0</v>
      </c>
      <c r="E26" s="572">
        <f>'Cost Share Summary'!Z31</f>
        <v>0</v>
      </c>
      <c r="F26" s="572">
        <f>'Cost Share Summary'!AA31</f>
        <v>0</v>
      </c>
      <c r="G26" s="570">
        <f>'Cost Share Summary'!AB31</f>
        <v>0</v>
      </c>
      <c r="H26" s="572">
        <f>'Cost Share Summary'!AC31</f>
        <v>0</v>
      </c>
      <c r="I26" s="572">
        <f>'Cost Share Summary'!AD31</f>
        <v>0</v>
      </c>
      <c r="J26" s="570">
        <f>'Cost Share Summary'!AE31</f>
        <v>0</v>
      </c>
      <c r="K26" s="572">
        <f>'Cost Share Summary'!AF31</f>
        <v>0</v>
      </c>
      <c r="L26" s="572">
        <f>'Cost Share Summary'!AG31</f>
        <v>0</v>
      </c>
      <c r="M26" s="570">
        <f>'Cost Share Summary'!AH31</f>
        <v>0</v>
      </c>
      <c r="N26" s="572">
        <f>'Cost Share Summary'!AI31</f>
        <v>0</v>
      </c>
      <c r="O26" s="572">
        <f>'Cost Share Summary'!AJ31</f>
        <v>0</v>
      </c>
      <c r="P26" s="570">
        <f>'Cost Share Summary'!AK31</f>
        <v>0</v>
      </c>
      <c r="Q26" s="572">
        <f>'Cost Share Summary'!AL31</f>
        <v>0</v>
      </c>
      <c r="R26" s="572">
        <f>'Cost Share Summary'!AM31</f>
        <v>0</v>
      </c>
      <c r="S26" s="570">
        <f>D26+G26+J26+M26+P26</f>
        <v>0</v>
      </c>
      <c r="T26" s="572">
        <f>E26+H26+K26+N26+Q26</f>
        <v>0</v>
      </c>
      <c r="U26" s="572">
        <f>F26+I26+L26+O26+R26</f>
        <v>0</v>
      </c>
      <c r="V26" s="61"/>
      <c r="W26" s="627"/>
      <c r="X26" s="627"/>
      <c r="Y26" s="627"/>
      <c r="Z26" s="574">
        <f>'Cost Share Summary'!AU31</f>
        <v>0</v>
      </c>
      <c r="AA26" s="574">
        <f>'Cost Share Summary'!AV31</f>
        <v>0</v>
      </c>
      <c r="AB26" s="574">
        <f>'Cost Share Summary'!AW31</f>
        <v>0</v>
      </c>
      <c r="AC26" s="574">
        <f>'Cost Share Summary'!AX31</f>
        <v>0</v>
      </c>
      <c r="AD26" s="574">
        <f>'Cost Share Summary'!AY31</f>
        <v>0</v>
      </c>
      <c r="AE26" s="574">
        <f>Z26+AA26+AB26+AC26+AD26</f>
        <v>0</v>
      </c>
    </row>
    <row r="27" spans="1:31" ht="15.75">
      <c r="A27" s="592" t="str">
        <f>IF(ISBLANK('BP1'!$B$27),"Senior Personnel 13",""&amp;'BP1'!$B$27)</f>
        <v>Senior Personnel 13</v>
      </c>
      <c r="B27" s="593"/>
      <c r="C27" s="594"/>
      <c r="D27" s="569" t="s">
        <v>2</v>
      </c>
      <c r="E27" s="571" t="s">
        <v>198</v>
      </c>
      <c r="F27" s="571" t="s">
        <v>199</v>
      </c>
      <c r="G27" s="569" t="s">
        <v>2</v>
      </c>
      <c r="H27" s="571" t="s">
        <v>198</v>
      </c>
      <c r="I27" s="571" t="s">
        <v>199</v>
      </c>
      <c r="J27" s="569" t="s">
        <v>2</v>
      </c>
      <c r="K27" s="571" t="s">
        <v>198</v>
      </c>
      <c r="L27" s="571" t="s">
        <v>199</v>
      </c>
      <c r="M27" s="569" t="s">
        <v>2</v>
      </c>
      <c r="N27" s="571" t="s">
        <v>198</v>
      </c>
      <c r="O27" s="571" t="s">
        <v>199</v>
      </c>
      <c r="P27" s="569" t="s">
        <v>2</v>
      </c>
      <c r="Q27" s="571" t="s">
        <v>198</v>
      </c>
      <c r="R27" s="571" t="s">
        <v>199</v>
      </c>
      <c r="S27" s="569" t="s">
        <v>2</v>
      </c>
      <c r="T27" s="571" t="s">
        <v>198</v>
      </c>
      <c r="U27" s="571" t="s">
        <v>199</v>
      </c>
      <c r="V27" s="61"/>
      <c r="W27" s="627" t="str">
        <f>IF(ISBLANK('BP1'!$B$27),"Senior Personnel 13",""&amp;'BP1'!$B$27)</f>
        <v>Senior Personnel 13</v>
      </c>
      <c r="X27" s="627"/>
      <c r="Y27" s="627"/>
      <c r="Z27" s="573" t="s">
        <v>288</v>
      </c>
      <c r="AA27" s="573" t="s">
        <v>288</v>
      </c>
      <c r="AB27" s="573" t="s">
        <v>288</v>
      </c>
      <c r="AC27" s="573" t="s">
        <v>288</v>
      </c>
      <c r="AD27" s="573" t="s">
        <v>288</v>
      </c>
      <c r="AE27" s="573" t="s">
        <v>288</v>
      </c>
    </row>
    <row r="28" spans="1:31" ht="15.75">
      <c r="A28" s="595"/>
      <c r="B28" s="596"/>
      <c r="C28" s="597"/>
      <c r="D28" s="570">
        <f>'Cost Share Summary'!Y33</f>
        <v>0</v>
      </c>
      <c r="E28" s="572">
        <f>'Cost Share Summary'!Z33</f>
        <v>0</v>
      </c>
      <c r="F28" s="572">
        <f>'Cost Share Summary'!AA33</f>
        <v>0</v>
      </c>
      <c r="G28" s="570">
        <f>'Cost Share Summary'!AB33</f>
        <v>0</v>
      </c>
      <c r="H28" s="572">
        <f>'Cost Share Summary'!AC33</f>
        <v>0</v>
      </c>
      <c r="I28" s="572">
        <f>'Cost Share Summary'!AD33</f>
        <v>0</v>
      </c>
      <c r="J28" s="570">
        <f>'Cost Share Summary'!AE33</f>
        <v>0</v>
      </c>
      <c r="K28" s="572">
        <f>'Cost Share Summary'!AF33</f>
        <v>0</v>
      </c>
      <c r="L28" s="572">
        <f>'Cost Share Summary'!AG33</f>
        <v>0</v>
      </c>
      <c r="M28" s="570">
        <f>'Cost Share Summary'!AH33</f>
        <v>0</v>
      </c>
      <c r="N28" s="572">
        <f>'Cost Share Summary'!AI33</f>
        <v>0</v>
      </c>
      <c r="O28" s="572">
        <f>'Cost Share Summary'!AJ33</f>
        <v>0</v>
      </c>
      <c r="P28" s="570">
        <f>'Cost Share Summary'!AK33</f>
        <v>0</v>
      </c>
      <c r="Q28" s="572">
        <f>'Cost Share Summary'!AL33</f>
        <v>0</v>
      </c>
      <c r="R28" s="572">
        <f>'Cost Share Summary'!AM33</f>
        <v>0</v>
      </c>
      <c r="S28" s="570">
        <f>D28+G28+J28+M28+P28</f>
        <v>0</v>
      </c>
      <c r="T28" s="572">
        <f>E28+H28+K28+N28+Q28</f>
        <v>0</v>
      </c>
      <c r="U28" s="572">
        <f>F28+I28+L28+O28+R28</f>
        <v>0</v>
      </c>
      <c r="V28" s="61"/>
      <c r="W28" s="627"/>
      <c r="X28" s="627"/>
      <c r="Y28" s="627"/>
      <c r="Z28" s="574">
        <f>'Cost Share Summary'!AU33</f>
        <v>0</v>
      </c>
      <c r="AA28" s="574">
        <f>'Cost Share Summary'!AV33</f>
        <v>0</v>
      </c>
      <c r="AB28" s="574">
        <f>'Cost Share Summary'!AW33</f>
        <v>0</v>
      </c>
      <c r="AC28" s="574">
        <f>'Cost Share Summary'!AX33</f>
        <v>0</v>
      </c>
      <c r="AD28" s="574">
        <f>'Cost Share Summary'!AY33</f>
        <v>0</v>
      </c>
      <c r="AE28" s="574">
        <f>Z28+AA28+AB28+AC28+AD28</f>
        <v>0</v>
      </c>
    </row>
    <row r="29" spans="1:31" ht="15.75">
      <c r="A29" s="592" t="str">
        <f>IF(ISBLANK('BP1'!$B$28),"Senior Personnel 14",""&amp;'BP1'!$B$28)</f>
        <v>Senior Personnel 14</v>
      </c>
      <c r="B29" s="593"/>
      <c r="C29" s="594"/>
      <c r="D29" s="569" t="s">
        <v>2</v>
      </c>
      <c r="E29" s="571" t="s">
        <v>198</v>
      </c>
      <c r="F29" s="571" t="s">
        <v>199</v>
      </c>
      <c r="G29" s="569" t="s">
        <v>2</v>
      </c>
      <c r="H29" s="571" t="s">
        <v>198</v>
      </c>
      <c r="I29" s="571" t="s">
        <v>199</v>
      </c>
      <c r="J29" s="569" t="s">
        <v>2</v>
      </c>
      <c r="K29" s="571" t="s">
        <v>198</v>
      </c>
      <c r="L29" s="571" t="s">
        <v>199</v>
      </c>
      <c r="M29" s="569" t="s">
        <v>2</v>
      </c>
      <c r="N29" s="571" t="s">
        <v>198</v>
      </c>
      <c r="O29" s="571" t="s">
        <v>199</v>
      </c>
      <c r="P29" s="569" t="s">
        <v>2</v>
      </c>
      <c r="Q29" s="571" t="s">
        <v>198</v>
      </c>
      <c r="R29" s="571" t="s">
        <v>199</v>
      </c>
      <c r="S29" s="569" t="s">
        <v>2</v>
      </c>
      <c r="T29" s="571" t="s">
        <v>198</v>
      </c>
      <c r="U29" s="571" t="s">
        <v>199</v>
      </c>
      <c r="V29" s="61"/>
      <c r="W29" s="627" t="str">
        <f>IF(ISBLANK('BP1'!$B$28),"Senior Personnel 14",""&amp;'BP1'!$B$28)</f>
        <v>Senior Personnel 14</v>
      </c>
      <c r="X29" s="627"/>
      <c r="Y29" s="627"/>
      <c r="Z29" s="573" t="s">
        <v>288</v>
      </c>
      <c r="AA29" s="573" t="s">
        <v>288</v>
      </c>
      <c r="AB29" s="573" t="s">
        <v>288</v>
      </c>
      <c r="AC29" s="573" t="s">
        <v>288</v>
      </c>
      <c r="AD29" s="573" t="s">
        <v>288</v>
      </c>
      <c r="AE29" s="573" t="s">
        <v>288</v>
      </c>
    </row>
    <row r="30" spans="1:31" ht="15.75">
      <c r="A30" s="595"/>
      <c r="B30" s="596"/>
      <c r="C30" s="597"/>
      <c r="D30" s="570">
        <f>'Cost Share Summary'!Y35</f>
        <v>0</v>
      </c>
      <c r="E30" s="572">
        <f>'Cost Share Summary'!Z35</f>
        <v>0</v>
      </c>
      <c r="F30" s="572">
        <f>'Cost Share Summary'!AA35</f>
        <v>0</v>
      </c>
      <c r="G30" s="570">
        <f>'Cost Share Summary'!AB35</f>
        <v>0</v>
      </c>
      <c r="H30" s="572">
        <f>'Cost Share Summary'!AC35</f>
        <v>0</v>
      </c>
      <c r="I30" s="572">
        <f>'Cost Share Summary'!AD35</f>
        <v>0</v>
      </c>
      <c r="J30" s="570">
        <f>'Cost Share Summary'!AE35</f>
        <v>0</v>
      </c>
      <c r="K30" s="572">
        <f>'Cost Share Summary'!AF35</f>
        <v>0</v>
      </c>
      <c r="L30" s="572">
        <f>'Cost Share Summary'!AG35</f>
        <v>0</v>
      </c>
      <c r="M30" s="570">
        <f>'Cost Share Summary'!AH35</f>
        <v>0</v>
      </c>
      <c r="N30" s="572">
        <f>'Cost Share Summary'!AI35</f>
        <v>0</v>
      </c>
      <c r="O30" s="572">
        <f>'Cost Share Summary'!AJ35</f>
        <v>0</v>
      </c>
      <c r="P30" s="570">
        <f>'Cost Share Summary'!AK35</f>
        <v>0</v>
      </c>
      <c r="Q30" s="572">
        <f>'Cost Share Summary'!AL35</f>
        <v>0</v>
      </c>
      <c r="R30" s="572">
        <f>'Cost Share Summary'!AM35</f>
        <v>0</v>
      </c>
      <c r="S30" s="570">
        <f>D30+G30+J30+M30+P30</f>
        <v>0</v>
      </c>
      <c r="T30" s="572">
        <f>E30+H30+K30+N30+Q30</f>
        <v>0</v>
      </c>
      <c r="U30" s="572">
        <f>F30+I30+L30+O30+R30</f>
        <v>0</v>
      </c>
      <c r="V30" s="61"/>
      <c r="W30" s="627"/>
      <c r="X30" s="627"/>
      <c r="Y30" s="627"/>
      <c r="Z30" s="574">
        <f>'Cost Share Summary'!AU35</f>
        <v>0</v>
      </c>
      <c r="AA30" s="574">
        <f>'Cost Share Summary'!AV35</f>
        <v>0</v>
      </c>
      <c r="AB30" s="574">
        <f>'Cost Share Summary'!AW35</f>
        <v>0</v>
      </c>
      <c r="AC30" s="574">
        <f>'Cost Share Summary'!AX35</f>
        <v>0</v>
      </c>
      <c r="AD30" s="574">
        <f>'Cost Share Summary'!AY35</f>
        <v>0</v>
      </c>
      <c r="AE30" s="574">
        <f>Z30+AA30+AB30+AC30+AD30</f>
        <v>0</v>
      </c>
    </row>
    <row r="31" spans="1:31" ht="15.75">
      <c r="A31" s="592" t="str">
        <f>IF(ISBLANK('BP1'!$B$29),"Senior Personnel 15",""&amp;'BP1'!$B$29)</f>
        <v>Senior Personnel 15</v>
      </c>
      <c r="B31" s="593"/>
      <c r="C31" s="594"/>
      <c r="D31" s="569" t="s">
        <v>2</v>
      </c>
      <c r="E31" s="571" t="s">
        <v>198</v>
      </c>
      <c r="F31" s="571" t="s">
        <v>199</v>
      </c>
      <c r="G31" s="569" t="s">
        <v>2</v>
      </c>
      <c r="H31" s="571" t="s">
        <v>198</v>
      </c>
      <c r="I31" s="571" t="s">
        <v>199</v>
      </c>
      <c r="J31" s="569" t="s">
        <v>2</v>
      </c>
      <c r="K31" s="571" t="s">
        <v>198</v>
      </c>
      <c r="L31" s="571" t="s">
        <v>199</v>
      </c>
      <c r="M31" s="569" t="s">
        <v>2</v>
      </c>
      <c r="N31" s="571" t="s">
        <v>198</v>
      </c>
      <c r="O31" s="571" t="s">
        <v>199</v>
      </c>
      <c r="P31" s="569" t="s">
        <v>2</v>
      </c>
      <c r="Q31" s="571" t="s">
        <v>198</v>
      </c>
      <c r="R31" s="571" t="s">
        <v>199</v>
      </c>
      <c r="S31" s="569" t="s">
        <v>2</v>
      </c>
      <c r="T31" s="571" t="s">
        <v>198</v>
      </c>
      <c r="U31" s="571" t="s">
        <v>199</v>
      </c>
      <c r="V31" s="61"/>
      <c r="W31" s="627" t="str">
        <f>IF(ISBLANK('BP1'!$B$29),"Senior Personnel 15",""&amp;'BP1'!$B$29)</f>
        <v>Senior Personnel 15</v>
      </c>
      <c r="X31" s="627"/>
      <c r="Y31" s="627"/>
      <c r="Z31" s="573" t="s">
        <v>288</v>
      </c>
      <c r="AA31" s="573" t="s">
        <v>288</v>
      </c>
      <c r="AB31" s="573" t="s">
        <v>288</v>
      </c>
      <c r="AC31" s="573" t="s">
        <v>288</v>
      </c>
      <c r="AD31" s="573" t="s">
        <v>288</v>
      </c>
      <c r="AE31" s="573" t="s">
        <v>288</v>
      </c>
    </row>
    <row r="32" spans="1:31" ht="15.75">
      <c r="A32" s="595"/>
      <c r="B32" s="596"/>
      <c r="C32" s="597"/>
      <c r="D32" s="570">
        <f>'Cost Share Summary'!Y37</f>
        <v>0</v>
      </c>
      <c r="E32" s="572">
        <f>'Cost Share Summary'!Z37</f>
        <v>0</v>
      </c>
      <c r="F32" s="572">
        <f>'Cost Share Summary'!AA37</f>
        <v>0</v>
      </c>
      <c r="G32" s="570">
        <f>'Cost Share Summary'!AB37</f>
        <v>0</v>
      </c>
      <c r="H32" s="572">
        <f>'Cost Share Summary'!AC37</f>
        <v>0</v>
      </c>
      <c r="I32" s="572">
        <f>'Cost Share Summary'!AD37</f>
        <v>0</v>
      </c>
      <c r="J32" s="570">
        <f>'Cost Share Summary'!AE37</f>
        <v>0</v>
      </c>
      <c r="K32" s="572">
        <f>'Cost Share Summary'!AF37</f>
        <v>0</v>
      </c>
      <c r="L32" s="572">
        <f>'Cost Share Summary'!AG37</f>
        <v>0</v>
      </c>
      <c r="M32" s="570">
        <f>'Cost Share Summary'!AH37</f>
        <v>0</v>
      </c>
      <c r="N32" s="572">
        <f>'Cost Share Summary'!AI37</f>
        <v>0</v>
      </c>
      <c r="O32" s="572">
        <f>'Cost Share Summary'!AJ37</f>
        <v>0</v>
      </c>
      <c r="P32" s="570">
        <f>'Cost Share Summary'!AK37</f>
        <v>0</v>
      </c>
      <c r="Q32" s="572">
        <f>'Cost Share Summary'!AL37</f>
        <v>0</v>
      </c>
      <c r="R32" s="572">
        <f>'Cost Share Summary'!AM37</f>
        <v>0</v>
      </c>
      <c r="S32" s="570">
        <f>D32+G32+J32+M32+P32</f>
        <v>0</v>
      </c>
      <c r="T32" s="572">
        <f>E32+H32+K32+N32+Q32</f>
        <v>0</v>
      </c>
      <c r="U32" s="572">
        <f>F32+I32+L32+O32+R32</f>
        <v>0</v>
      </c>
      <c r="V32" s="61"/>
      <c r="W32" s="627"/>
      <c r="X32" s="627"/>
      <c r="Y32" s="627"/>
      <c r="Z32" s="574">
        <f>'Cost Share Summary'!AU37</f>
        <v>0</v>
      </c>
      <c r="AA32" s="574">
        <f>'Cost Share Summary'!AV37</f>
        <v>0</v>
      </c>
      <c r="AB32" s="574">
        <f>'Cost Share Summary'!AW37</f>
        <v>0</v>
      </c>
      <c r="AC32" s="574">
        <f>'Cost Share Summary'!AX37</f>
        <v>0</v>
      </c>
      <c r="AD32" s="574">
        <f>'Cost Share Summary'!AY37</f>
        <v>0</v>
      </c>
      <c r="AE32" s="574">
        <f>Z32+AA32+AB32+AC32+AD32</f>
        <v>0</v>
      </c>
    </row>
    <row r="33" spans="1:31" ht="16.5" thickBot="1">
      <c r="A33" s="61"/>
      <c r="B33" s="61"/>
      <c r="C33" s="61"/>
      <c r="D33" s="61"/>
      <c r="E33" s="61"/>
      <c r="F33" s="61"/>
      <c r="G33" s="61"/>
      <c r="H33" s="61"/>
      <c r="I33" s="61"/>
      <c r="J33" s="61"/>
      <c r="K33" s="61"/>
      <c r="L33" s="61"/>
      <c r="M33" s="61"/>
      <c r="N33" s="61"/>
      <c r="O33" s="61"/>
      <c r="P33" s="61"/>
      <c r="Q33" s="61"/>
      <c r="R33" s="61"/>
      <c r="S33" s="61"/>
      <c r="T33" s="61"/>
      <c r="U33" s="61"/>
      <c r="V33" s="61"/>
      <c r="W33" s="61"/>
      <c r="X33" s="61"/>
      <c r="Y33" s="61"/>
      <c r="Z33" s="61"/>
      <c r="AA33" s="61"/>
      <c r="AB33" s="61"/>
      <c r="AC33" s="61"/>
      <c r="AD33" s="61"/>
      <c r="AE33" s="61"/>
    </row>
    <row r="34" spans="1:31" ht="16.5" thickBot="1">
      <c r="A34" s="630" t="s">
        <v>201</v>
      </c>
      <c r="B34" s="631"/>
      <c r="C34" s="631"/>
      <c r="D34" s="631"/>
      <c r="E34" s="631"/>
      <c r="F34" s="631"/>
      <c r="G34" s="631"/>
      <c r="H34" s="631"/>
      <c r="I34" s="631"/>
      <c r="J34" s="631"/>
      <c r="K34" s="631"/>
      <c r="L34" s="631"/>
      <c r="M34" s="631"/>
      <c r="N34" s="631"/>
      <c r="O34" s="631"/>
      <c r="P34" s="631"/>
      <c r="Q34" s="631"/>
      <c r="R34" s="631"/>
      <c r="S34" s="631"/>
      <c r="T34" s="631"/>
      <c r="U34" s="632"/>
      <c r="V34" s="61"/>
      <c r="W34" s="654" t="s">
        <v>510</v>
      </c>
      <c r="X34" s="655"/>
      <c r="Y34" s="655"/>
      <c r="Z34" s="655"/>
      <c r="AA34" s="655"/>
      <c r="AB34" s="655"/>
      <c r="AC34" s="655"/>
      <c r="AD34" s="655"/>
      <c r="AE34" s="656"/>
    </row>
    <row r="35" spans="1:31" ht="15.75">
      <c r="A35" s="605" t="s">
        <v>227</v>
      </c>
      <c r="B35" s="605"/>
      <c r="C35" s="605"/>
      <c r="D35" s="616" t="s">
        <v>424</v>
      </c>
      <c r="E35" s="617"/>
      <c r="F35" s="618"/>
      <c r="G35" s="616" t="s">
        <v>425</v>
      </c>
      <c r="H35" s="617"/>
      <c r="I35" s="618"/>
      <c r="J35" s="616" t="s">
        <v>426</v>
      </c>
      <c r="K35" s="617"/>
      <c r="L35" s="618"/>
      <c r="M35" s="619" t="s">
        <v>427</v>
      </c>
      <c r="N35" s="619"/>
      <c r="O35" s="619"/>
      <c r="P35" s="616" t="s">
        <v>428</v>
      </c>
      <c r="Q35" s="617"/>
      <c r="R35" s="618"/>
      <c r="S35" s="616" t="s">
        <v>97</v>
      </c>
      <c r="T35" s="617"/>
      <c r="U35" s="618"/>
      <c r="V35" s="61"/>
      <c r="W35" s="657" t="s">
        <v>227</v>
      </c>
      <c r="X35" s="657"/>
      <c r="Y35" s="657"/>
      <c r="Z35" s="364" t="s">
        <v>451</v>
      </c>
      <c r="AA35" s="364" t="s">
        <v>452</v>
      </c>
      <c r="AB35" s="364" t="s">
        <v>453</v>
      </c>
      <c r="AC35" s="364" t="s">
        <v>454</v>
      </c>
      <c r="AD35" s="365" t="s">
        <v>455</v>
      </c>
      <c r="AE35" s="364" t="s">
        <v>97</v>
      </c>
    </row>
    <row r="36" spans="1:31" ht="15.75">
      <c r="A36" s="591" t="str">
        <f>'BP1'!$D$32</f>
        <v>Postdoctoral Associate</v>
      </c>
      <c r="B36" s="591"/>
      <c r="C36" s="591"/>
      <c r="D36" s="569" t="s">
        <v>2</v>
      </c>
      <c r="E36" s="571" t="s">
        <v>198</v>
      </c>
      <c r="F36" s="571" t="s">
        <v>199</v>
      </c>
      <c r="G36" s="569" t="s">
        <v>2</v>
      </c>
      <c r="H36" s="571" t="s">
        <v>198</v>
      </c>
      <c r="I36" s="571" t="s">
        <v>199</v>
      </c>
      <c r="J36" s="569" t="s">
        <v>2</v>
      </c>
      <c r="K36" s="571" t="s">
        <v>198</v>
      </c>
      <c r="L36" s="571" t="s">
        <v>199</v>
      </c>
      <c r="M36" s="569" t="s">
        <v>2</v>
      </c>
      <c r="N36" s="571" t="s">
        <v>198</v>
      </c>
      <c r="O36" s="571" t="s">
        <v>199</v>
      </c>
      <c r="P36" s="569" t="s">
        <v>2</v>
      </c>
      <c r="Q36" s="571" t="s">
        <v>198</v>
      </c>
      <c r="R36" s="571" t="s">
        <v>199</v>
      </c>
      <c r="S36" s="569" t="s">
        <v>2</v>
      </c>
      <c r="T36" s="571" t="s">
        <v>198</v>
      </c>
      <c r="U36" s="571" t="s">
        <v>199</v>
      </c>
      <c r="V36" s="61"/>
      <c r="W36" s="658" t="str">
        <f>'BP1'!$D$32</f>
        <v>Postdoctoral Associate</v>
      </c>
      <c r="X36" s="659"/>
      <c r="Y36" s="660"/>
      <c r="Z36" s="573" t="s">
        <v>288</v>
      </c>
      <c r="AA36" s="573" t="s">
        <v>288</v>
      </c>
      <c r="AB36" s="573" t="s">
        <v>288</v>
      </c>
      <c r="AC36" s="573" t="s">
        <v>288</v>
      </c>
      <c r="AD36" s="573" t="s">
        <v>288</v>
      </c>
      <c r="AE36" s="573" t="s">
        <v>288</v>
      </c>
    </row>
    <row r="37" spans="1:31" ht="15.75">
      <c r="A37" s="591"/>
      <c r="B37" s="591"/>
      <c r="C37" s="591"/>
      <c r="D37" s="570">
        <f>'Cost Share Summary'!Y42</f>
        <v>0</v>
      </c>
      <c r="E37" s="572">
        <f>'Cost Share Summary'!Z42</f>
        <v>0</v>
      </c>
      <c r="F37" s="572">
        <f>'Cost Share Summary'!AA42</f>
        <v>0</v>
      </c>
      <c r="G37" s="570">
        <f>'Cost Share Summary'!AB42</f>
        <v>0</v>
      </c>
      <c r="H37" s="572">
        <f>'Cost Share Summary'!AC42</f>
        <v>0</v>
      </c>
      <c r="I37" s="572">
        <f>'Cost Share Summary'!AD42</f>
        <v>0</v>
      </c>
      <c r="J37" s="570">
        <f>'Cost Share Summary'!AE42</f>
        <v>0</v>
      </c>
      <c r="K37" s="572">
        <f>'Cost Share Summary'!AF42</f>
        <v>0</v>
      </c>
      <c r="L37" s="572">
        <f>'Cost Share Summary'!AG42</f>
        <v>0</v>
      </c>
      <c r="M37" s="570">
        <f>'Cost Share Summary'!AH42</f>
        <v>0</v>
      </c>
      <c r="N37" s="572">
        <f>'Cost Share Summary'!AI42</f>
        <v>0</v>
      </c>
      <c r="O37" s="572">
        <f>'Cost Share Summary'!AJ42</f>
        <v>0</v>
      </c>
      <c r="P37" s="570">
        <f>'Cost Share Summary'!AK42</f>
        <v>0</v>
      </c>
      <c r="Q37" s="572">
        <f>'Cost Share Summary'!AL42</f>
        <v>0</v>
      </c>
      <c r="R37" s="572">
        <f>'Cost Share Summary'!AM42</f>
        <v>0</v>
      </c>
      <c r="S37" s="570">
        <f>D37+G37+J37+M37+P37</f>
        <v>0</v>
      </c>
      <c r="T37" s="572">
        <f>E37+H37+K37+N37+Q37</f>
        <v>0</v>
      </c>
      <c r="U37" s="572">
        <f>F37+I37+L37+O37+R37</f>
        <v>0</v>
      </c>
      <c r="V37" s="61"/>
      <c r="W37" s="661"/>
      <c r="X37" s="662"/>
      <c r="Y37" s="663"/>
      <c r="Z37" s="574">
        <f>'Cost Share Summary'!AU42</f>
        <v>0</v>
      </c>
      <c r="AA37" s="574">
        <f>'Cost Share Summary'!AV42</f>
        <v>0</v>
      </c>
      <c r="AB37" s="574">
        <f>'Cost Share Summary'!AW42</f>
        <v>0</v>
      </c>
      <c r="AC37" s="574">
        <f>'Cost Share Summary'!AX42</f>
        <v>0</v>
      </c>
      <c r="AD37" s="574">
        <f>'Cost Share Summary'!AY42</f>
        <v>0</v>
      </c>
      <c r="AE37" s="574">
        <f>Z37+AA37+AB37+AC37+AD37</f>
        <v>0</v>
      </c>
    </row>
    <row r="38" spans="1:31" ht="15.75">
      <c r="A38" s="591" t="str">
        <f>'BP1'!$D$33</f>
        <v>Other Professional</v>
      </c>
      <c r="B38" s="591"/>
      <c r="C38" s="591"/>
      <c r="D38" s="569" t="s">
        <v>2</v>
      </c>
      <c r="E38" s="571" t="s">
        <v>198</v>
      </c>
      <c r="F38" s="571" t="s">
        <v>199</v>
      </c>
      <c r="G38" s="569" t="s">
        <v>2</v>
      </c>
      <c r="H38" s="571" t="s">
        <v>198</v>
      </c>
      <c r="I38" s="571" t="s">
        <v>199</v>
      </c>
      <c r="J38" s="569" t="s">
        <v>2</v>
      </c>
      <c r="K38" s="571" t="s">
        <v>198</v>
      </c>
      <c r="L38" s="571" t="s">
        <v>199</v>
      </c>
      <c r="M38" s="569" t="s">
        <v>2</v>
      </c>
      <c r="N38" s="571" t="s">
        <v>198</v>
      </c>
      <c r="O38" s="571" t="s">
        <v>199</v>
      </c>
      <c r="P38" s="569" t="s">
        <v>2</v>
      </c>
      <c r="Q38" s="571" t="s">
        <v>198</v>
      </c>
      <c r="R38" s="571" t="s">
        <v>199</v>
      </c>
      <c r="S38" s="569" t="s">
        <v>2</v>
      </c>
      <c r="T38" s="571" t="s">
        <v>198</v>
      </c>
      <c r="U38" s="571" t="s">
        <v>199</v>
      </c>
      <c r="V38" s="61"/>
      <c r="W38" s="658" t="str">
        <f>'BP1'!$D$33</f>
        <v>Other Professional</v>
      </c>
      <c r="X38" s="659"/>
      <c r="Y38" s="660"/>
      <c r="Z38" s="573" t="s">
        <v>288</v>
      </c>
      <c r="AA38" s="573" t="s">
        <v>288</v>
      </c>
      <c r="AB38" s="573" t="s">
        <v>288</v>
      </c>
      <c r="AC38" s="573" t="s">
        <v>288</v>
      </c>
      <c r="AD38" s="573" t="s">
        <v>288</v>
      </c>
      <c r="AE38" s="573" t="s">
        <v>288</v>
      </c>
    </row>
    <row r="39" spans="1:31" ht="15.75">
      <c r="A39" s="591"/>
      <c r="B39" s="591"/>
      <c r="C39" s="591"/>
      <c r="D39" s="570">
        <f>'Cost Share Summary'!Y44</f>
        <v>0</v>
      </c>
      <c r="E39" s="572">
        <f>'Cost Share Summary'!Z44</f>
        <v>0</v>
      </c>
      <c r="F39" s="572">
        <f>'Cost Share Summary'!AA44</f>
        <v>0</v>
      </c>
      <c r="G39" s="570">
        <f>'Cost Share Summary'!AB44</f>
        <v>0</v>
      </c>
      <c r="H39" s="572">
        <f>'Cost Share Summary'!AC44</f>
        <v>0</v>
      </c>
      <c r="I39" s="572">
        <f>'Cost Share Summary'!AD44</f>
        <v>0</v>
      </c>
      <c r="J39" s="570">
        <f>'Cost Share Summary'!AE44</f>
        <v>0</v>
      </c>
      <c r="K39" s="572">
        <f>'Cost Share Summary'!AF44</f>
        <v>0</v>
      </c>
      <c r="L39" s="572">
        <f>'Cost Share Summary'!AG44</f>
        <v>0</v>
      </c>
      <c r="M39" s="570">
        <f>'Cost Share Summary'!AH44</f>
        <v>0</v>
      </c>
      <c r="N39" s="572">
        <f>'Cost Share Summary'!AI44</f>
        <v>0</v>
      </c>
      <c r="O39" s="572">
        <f>'Cost Share Summary'!AJ44</f>
        <v>0</v>
      </c>
      <c r="P39" s="570">
        <f>'Cost Share Summary'!AK44</f>
        <v>0</v>
      </c>
      <c r="Q39" s="572">
        <f>'Cost Share Summary'!AL44</f>
        <v>0</v>
      </c>
      <c r="R39" s="572">
        <f>'Cost Share Summary'!AM44</f>
        <v>0</v>
      </c>
      <c r="S39" s="570">
        <f>D39+G39+J39+M39+P39</f>
        <v>0</v>
      </c>
      <c r="T39" s="572">
        <f>E39+H39+K39+N39+Q39</f>
        <v>0</v>
      </c>
      <c r="U39" s="572">
        <f>F39+I39+L39+O39+R39</f>
        <v>0</v>
      </c>
      <c r="V39" s="61"/>
      <c r="W39" s="661"/>
      <c r="X39" s="662"/>
      <c r="Y39" s="663"/>
      <c r="Z39" s="574">
        <f>'Cost Share Summary'!AU44</f>
        <v>0</v>
      </c>
      <c r="AA39" s="574">
        <f>'Cost Share Summary'!AV44</f>
        <v>0</v>
      </c>
      <c r="AB39" s="574">
        <f>'Cost Share Summary'!AW44</f>
        <v>0</v>
      </c>
      <c r="AC39" s="574">
        <f>'Cost Share Summary'!AX44</f>
        <v>0</v>
      </c>
      <c r="AD39" s="574">
        <f>'Cost Share Summary'!AY44</f>
        <v>0</v>
      </c>
      <c r="AE39" s="574">
        <f>Z39+AA39+AB39+AC39+AD39</f>
        <v>0</v>
      </c>
    </row>
    <row r="40" spans="1:31" ht="15.75">
      <c r="A40" s="591" t="str">
        <f>'BP1'!$D$34</f>
        <v>Other Professional</v>
      </c>
      <c r="B40" s="591"/>
      <c r="C40" s="591"/>
      <c r="D40" s="569" t="s">
        <v>2</v>
      </c>
      <c r="E40" s="571" t="s">
        <v>198</v>
      </c>
      <c r="F40" s="571" t="s">
        <v>199</v>
      </c>
      <c r="G40" s="569" t="s">
        <v>2</v>
      </c>
      <c r="H40" s="571" t="s">
        <v>198</v>
      </c>
      <c r="I40" s="571" t="s">
        <v>199</v>
      </c>
      <c r="J40" s="569" t="s">
        <v>2</v>
      </c>
      <c r="K40" s="571" t="s">
        <v>198</v>
      </c>
      <c r="L40" s="571" t="s">
        <v>199</v>
      </c>
      <c r="M40" s="569" t="s">
        <v>2</v>
      </c>
      <c r="N40" s="571" t="s">
        <v>198</v>
      </c>
      <c r="O40" s="571" t="s">
        <v>199</v>
      </c>
      <c r="P40" s="569" t="s">
        <v>2</v>
      </c>
      <c r="Q40" s="571" t="s">
        <v>198</v>
      </c>
      <c r="R40" s="571" t="s">
        <v>199</v>
      </c>
      <c r="S40" s="569" t="s">
        <v>2</v>
      </c>
      <c r="T40" s="571" t="s">
        <v>198</v>
      </c>
      <c r="U40" s="571" t="s">
        <v>199</v>
      </c>
      <c r="V40" s="61"/>
      <c r="W40" s="658" t="str">
        <f>'BP1'!$D$34</f>
        <v>Other Professional</v>
      </c>
      <c r="X40" s="659"/>
      <c r="Y40" s="660"/>
      <c r="Z40" s="573" t="s">
        <v>288</v>
      </c>
      <c r="AA40" s="573" t="s">
        <v>288</v>
      </c>
      <c r="AB40" s="573" t="s">
        <v>288</v>
      </c>
      <c r="AC40" s="573" t="s">
        <v>288</v>
      </c>
      <c r="AD40" s="573" t="s">
        <v>288</v>
      </c>
      <c r="AE40" s="573" t="s">
        <v>288</v>
      </c>
    </row>
    <row r="41" spans="1:31" ht="15.75">
      <c r="A41" s="591"/>
      <c r="B41" s="591"/>
      <c r="C41" s="591"/>
      <c r="D41" s="570">
        <f>'Cost Share Summary'!Y46</f>
        <v>0</v>
      </c>
      <c r="E41" s="572">
        <f>'Cost Share Summary'!Z46</f>
        <v>0</v>
      </c>
      <c r="F41" s="572">
        <f>'Cost Share Summary'!AA46</f>
        <v>0</v>
      </c>
      <c r="G41" s="570">
        <f>'Cost Share Summary'!AB46</f>
        <v>0</v>
      </c>
      <c r="H41" s="572">
        <f>'Cost Share Summary'!AC46</f>
        <v>0</v>
      </c>
      <c r="I41" s="572">
        <f>'Cost Share Summary'!AD46</f>
        <v>0</v>
      </c>
      <c r="J41" s="570">
        <f>'Cost Share Summary'!AE46</f>
        <v>0</v>
      </c>
      <c r="K41" s="572">
        <f>'Cost Share Summary'!AF46</f>
        <v>0</v>
      </c>
      <c r="L41" s="572">
        <f>'Cost Share Summary'!AG46</f>
        <v>0</v>
      </c>
      <c r="M41" s="570">
        <f>'Cost Share Summary'!AH46</f>
        <v>0</v>
      </c>
      <c r="N41" s="572">
        <f>'Cost Share Summary'!AI46</f>
        <v>0</v>
      </c>
      <c r="O41" s="572">
        <f>'Cost Share Summary'!AJ46</f>
        <v>0</v>
      </c>
      <c r="P41" s="570">
        <f>'Cost Share Summary'!AK46</f>
        <v>0</v>
      </c>
      <c r="Q41" s="572">
        <f>'Cost Share Summary'!AL46</f>
        <v>0</v>
      </c>
      <c r="R41" s="572">
        <f>'Cost Share Summary'!AM46</f>
        <v>0</v>
      </c>
      <c r="S41" s="570">
        <f>D41+G41+J41+M41+P41</f>
        <v>0</v>
      </c>
      <c r="T41" s="572">
        <f>E41+H41+K41+N41+Q41</f>
        <v>0</v>
      </c>
      <c r="U41" s="572">
        <f>F41+I41+L41+O41+R41</f>
        <v>0</v>
      </c>
      <c r="V41" s="61"/>
      <c r="W41" s="661"/>
      <c r="X41" s="662"/>
      <c r="Y41" s="663"/>
      <c r="Z41" s="574">
        <f>'Cost Share Summary'!AU46</f>
        <v>0</v>
      </c>
      <c r="AA41" s="574">
        <f>'Cost Share Summary'!AV46</f>
        <v>0</v>
      </c>
      <c r="AB41" s="574">
        <f>'Cost Share Summary'!AW46</f>
        <v>0</v>
      </c>
      <c r="AC41" s="574">
        <f>'Cost Share Summary'!AX46</f>
        <v>0</v>
      </c>
      <c r="AD41" s="574">
        <f>'Cost Share Summary'!AY46</f>
        <v>0</v>
      </c>
      <c r="AE41" s="574">
        <f>Z41+AA41+AB41+AC41+AD41</f>
        <v>0</v>
      </c>
    </row>
    <row r="42" spans="1:31" ht="15.75">
      <c r="A42" s="591" t="str">
        <f>'BP1'!$D$35</f>
        <v>Other Professional</v>
      </c>
      <c r="B42" s="591"/>
      <c r="C42" s="591"/>
      <c r="D42" s="569" t="s">
        <v>2</v>
      </c>
      <c r="E42" s="571" t="s">
        <v>198</v>
      </c>
      <c r="F42" s="571" t="s">
        <v>199</v>
      </c>
      <c r="G42" s="569" t="s">
        <v>2</v>
      </c>
      <c r="H42" s="571" t="s">
        <v>198</v>
      </c>
      <c r="I42" s="571" t="s">
        <v>199</v>
      </c>
      <c r="J42" s="569" t="s">
        <v>2</v>
      </c>
      <c r="K42" s="571" t="s">
        <v>198</v>
      </c>
      <c r="L42" s="571" t="s">
        <v>199</v>
      </c>
      <c r="M42" s="569" t="s">
        <v>2</v>
      </c>
      <c r="N42" s="571" t="s">
        <v>198</v>
      </c>
      <c r="O42" s="571" t="s">
        <v>199</v>
      </c>
      <c r="P42" s="569" t="s">
        <v>2</v>
      </c>
      <c r="Q42" s="571" t="s">
        <v>198</v>
      </c>
      <c r="R42" s="571" t="s">
        <v>199</v>
      </c>
      <c r="S42" s="569" t="s">
        <v>2</v>
      </c>
      <c r="T42" s="571" t="s">
        <v>198</v>
      </c>
      <c r="U42" s="571" t="s">
        <v>199</v>
      </c>
      <c r="V42" s="61"/>
      <c r="W42" s="658" t="str">
        <f>'BP1'!$D$35</f>
        <v>Other Professional</v>
      </c>
      <c r="X42" s="659"/>
      <c r="Y42" s="660"/>
      <c r="Z42" s="573" t="s">
        <v>288</v>
      </c>
      <c r="AA42" s="573" t="s">
        <v>288</v>
      </c>
      <c r="AB42" s="573" t="s">
        <v>288</v>
      </c>
      <c r="AC42" s="573" t="s">
        <v>288</v>
      </c>
      <c r="AD42" s="573" t="s">
        <v>288</v>
      </c>
      <c r="AE42" s="573" t="s">
        <v>288</v>
      </c>
    </row>
    <row r="43" spans="1:31" ht="15.75">
      <c r="A43" s="591"/>
      <c r="B43" s="591"/>
      <c r="C43" s="591"/>
      <c r="D43" s="570">
        <f>'Cost Share Summary'!Y48</f>
        <v>0</v>
      </c>
      <c r="E43" s="572">
        <f>'Cost Share Summary'!Z48</f>
        <v>0</v>
      </c>
      <c r="F43" s="572">
        <f>'Cost Share Summary'!AA48</f>
        <v>0</v>
      </c>
      <c r="G43" s="570">
        <f>'Cost Share Summary'!AB48</f>
        <v>0</v>
      </c>
      <c r="H43" s="572">
        <f>'Cost Share Summary'!AC48</f>
        <v>0</v>
      </c>
      <c r="I43" s="572">
        <f>'Cost Share Summary'!AD48</f>
        <v>0</v>
      </c>
      <c r="J43" s="570">
        <f>'Cost Share Summary'!AE48</f>
        <v>0</v>
      </c>
      <c r="K43" s="572">
        <f>'Cost Share Summary'!AF48</f>
        <v>0</v>
      </c>
      <c r="L43" s="572">
        <f>'Cost Share Summary'!AG48</f>
        <v>0</v>
      </c>
      <c r="M43" s="570">
        <f>'Cost Share Summary'!AH48</f>
        <v>0</v>
      </c>
      <c r="N43" s="572">
        <f>'Cost Share Summary'!AI48</f>
        <v>0</v>
      </c>
      <c r="O43" s="572">
        <f>'Cost Share Summary'!AJ48</f>
        <v>0</v>
      </c>
      <c r="P43" s="570">
        <f>'Cost Share Summary'!AK48</f>
        <v>0</v>
      </c>
      <c r="Q43" s="572">
        <f>'Cost Share Summary'!AL48</f>
        <v>0</v>
      </c>
      <c r="R43" s="572">
        <f>'Cost Share Summary'!AM48</f>
        <v>0</v>
      </c>
      <c r="S43" s="570">
        <f>D43+G43+J43+M43+P43</f>
        <v>0</v>
      </c>
      <c r="T43" s="572">
        <f>E43+H43+K43+N43+Q43</f>
        <v>0</v>
      </c>
      <c r="U43" s="572">
        <f>F43+I43+L43+O43+R43</f>
        <v>0</v>
      </c>
      <c r="V43" s="61"/>
      <c r="W43" s="661"/>
      <c r="X43" s="662"/>
      <c r="Y43" s="663"/>
      <c r="Z43" s="574">
        <f>'Cost Share Summary'!AU48</f>
        <v>0</v>
      </c>
      <c r="AA43" s="574">
        <f>'Cost Share Summary'!AV48</f>
        <v>0</v>
      </c>
      <c r="AB43" s="574">
        <f>'Cost Share Summary'!AW48</f>
        <v>0</v>
      </c>
      <c r="AC43" s="574">
        <f>'Cost Share Summary'!AX48</f>
        <v>0</v>
      </c>
      <c r="AD43" s="574">
        <f>'Cost Share Summary'!AY48</f>
        <v>0</v>
      </c>
      <c r="AE43" s="574">
        <f>Z43+AA43+AB43+AC43+AD43</f>
        <v>0</v>
      </c>
    </row>
    <row r="44" spans="1:31" ht="15.75">
      <c r="A44" s="591" t="str">
        <f>'BP1'!$D$36</f>
        <v>Other Professional</v>
      </c>
      <c r="B44" s="591"/>
      <c r="C44" s="591"/>
      <c r="D44" s="569" t="s">
        <v>2</v>
      </c>
      <c r="E44" s="571" t="s">
        <v>198</v>
      </c>
      <c r="F44" s="571" t="s">
        <v>199</v>
      </c>
      <c r="G44" s="569" t="s">
        <v>2</v>
      </c>
      <c r="H44" s="571" t="s">
        <v>198</v>
      </c>
      <c r="I44" s="571" t="s">
        <v>199</v>
      </c>
      <c r="J44" s="569" t="s">
        <v>2</v>
      </c>
      <c r="K44" s="571" t="s">
        <v>198</v>
      </c>
      <c r="L44" s="571" t="s">
        <v>199</v>
      </c>
      <c r="M44" s="569" t="s">
        <v>2</v>
      </c>
      <c r="N44" s="571" t="s">
        <v>198</v>
      </c>
      <c r="O44" s="571" t="s">
        <v>199</v>
      </c>
      <c r="P44" s="569" t="s">
        <v>2</v>
      </c>
      <c r="Q44" s="571" t="s">
        <v>198</v>
      </c>
      <c r="R44" s="571" t="s">
        <v>199</v>
      </c>
      <c r="S44" s="569" t="s">
        <v>2</v>
      </c>
      <c r="T44" s="571" t="s">
        <v>198</v>
      </c>
      <c r="U44" s="571" t="s">
        <v>199</v>
      </c>
      <c r="V44" s="61"/>
      <c r="W44" s="658" t="str">
        <f>'BP1'!$D$36</f>
        <v>Other Professional</v>
      </c>
      <c r="X44" s="659"/>
      <c r="Y44" s="660"/>
      <c r="Z44" s="573" t="s">
        <v>288</v>
      </c>
      <c r="AA44" s="573" t="s">
        <v>288</v>
      </c>
      <c r="AB44" s="573" t="s">
        <v>288</v>
      </c>
      <c r="AC44" s="573" t="s">
        <v>288</v>
      </c>
      <c r="AD44" s="573" t="s">
        <v>288</v>
      </c>
      <c r="AE44" s="573" t="s">
        <v>288</v>
      </c>
    </row>
    <row r="45" spans="1:31" ht="15.75">
      <c r="A45" s="591"/>
      <c r="B45" s="591"/>
      <c r="C45" s="591"/>
      <c r="D45" s="570">
        <f>'Cost Share Summary'!Y50</f>
        <v>0</v>
      </c>
      <c r="E45" s="572">
        <f>'Cost Share Summary'!Z50</f>
        <v>0</v>
      </c>
      <c r="F45" s="572">
        <f>'Cost Share Summary'!AA50</f>
        <v>0</v>
      </c>
      <c r="G45" s="570">
        <f>'Cost Share Summary'!AB50</f>
        <v>0</v>
      </c>
      <c r="H45" s="572">
        <f>'Cost Share Summary'!AC50</f>
        <v>0</v>
      </c>
      <c r="I45" s="572">
        <f>'Cost Share Summary'!AD50</f>
        <v>0</v>
      </c>
      <c r="J45" s="570">
        <f>'Cost Share Summary'!AE50</f>
        <v>0</v>
      </c>
      <c r="K45" s="572">
        <f>'Cost Share Summary'!AF50</f>
        <v>0</v>
      </c>
      <c r="L45" s="572">
        <f>'Cost Share Summary'!AG50</f>
        <v>0</v>
      </c>
      <c r="M45" s="570">
        <f>'Cost Share Summary'!AH50</f>
        <v>0</v>
      </c>
      <c r="N45" s="572">
        <f>'Cost Share Summary'!AI50</f>
        <v>0</v>
      </c>
      <c r="O45" s="572">
        <f>'Cost Share Summary'!AJ50</f>
        <v>0</v>
      </c>
      <c r="P45" s="570">
        <f>'Cost Share Summary'!AK50</f>
        <v>0</v>
      </c>
      <c r="Q45" s="572">
        <f>'Cost Share Summary'!AL50</f>
        <v>0</v>
      </c>
      <c r="R45" s="572">
        <f>'Cost Share Summary'!AM50</f>
        <v>0</v>
      </c>
      <c r="S45" s="570">
        <f>D45+G45+J45+M45+P45</f>
        <v>0</v>
      </c>
      <c r="T45" s="572">
        <f>E45+H45+K45+N45+Q45</f>
        <v>0</v>
      </c>
      <c r="U45" s="572">
        <f>F45+I45+L45+O45+R45</f>
        <v>0</v>
      </c>
      <c r="V45" s="61"/>
      <c r="W45" s="661"/>
      <c r="X45" s="662"/>
      <c r="Y45" s="663"/>
      <c r="Z45" s="574">
        <f>'Cost Share Summary'!AU50</f>
        <v>0</v>
      </c>
      <c r="AA45" s="574">
        <f>'Cost Share Summary'!AV50</f>
        <v>0</v>
      </c>
      <c r="AB45" s="574">
        <f>'Cost Share Summary'!AW50</f>
        <v>0</v>
      </c>
      <c r="AC45" s="574">
        <f>'Cost Share Summary'!AX50</f>
        <v>0</v>
      </c>
      <c r="AD45" s="574">
        <f>'Cost Share Summary'!AY50</f>
        <v>0</v>
      </c>
      <c r="AE45" s="574">
        <f>Z45+AA45+AB45+AC45+AD45</f>
        <v>0</v>
      </c>
    </row>
    <row r="46" spans="1:31" ht="15.75">
      <c r="A46" s="591" t="str">
        <f>'BP1'!$D$37</f>
        <v>Other Professional</v>
      </c>
      <c r="B46" s="591"/>
      <c r="C46" s="591"/>
      <c r="D46" s="569" t="s">
        <v>2</v>
      </c>
      <c r="E46" s="571" t="s">
        <v>198</v>
      </c>
      <c r="F46" s="571" t="s">
        <v>199</v>
      </c>
      <c r="G46" s="569" t="s">
        <v>2</v>
      </c>
      <c r="H46" s="571" t="s">
        <v>198</v>
      </c>
      <c r="I46" s="571" t="s">
        <v>199</v>
      </c>
      <c r="J46" s="569" t="s">
        <v>2</v>
      </c>
      <c r="K46" s="571" t="s">
        <v>198</v>
      </c>
      <c r="L46" s="571" t="s">
        <v>199</v>
      </c>
      <c r="M46" s="569" t="s">
        <v>2</v>
      </c>
      <c r="N46" s="571" t="s">
        <v>198</v>
      </c>
      <c r="O46" s="571" t="s">
        <v>199</v>
      </c>
      <c r="P46" s="569" t="s">
        <v>2</v>
      </c>
      <c r="Q46" s="571" t="s">
        <v>198</v>
      </c>
      <c r="R46" s="571" t="s">
        <v>199</v>
      </c>
      <c r="S46" s="569" t="s">
        <v>2</v>
      </c>
      <c r="T46" s="571" t="s">
        <v>198</v>
      </c>
      <c r="U46" s="571" t="s">
        <v>199</v>
      </c>
      <c r="V46" s="61"/>
      <c r="W46" s="658" t="str">
        <f>'BP1'!$D$37</f>
        <v>Other Professional</v>
      </c>
      <c r="X46" s="659"/>
      <c r="Y46" s="660"/>
      <c r="Z46" s="573" t="s">
        <v>288</v>
      </c>
      <c r="AA46" s="573" t="s">
        <v>288</v>
      </c>
      <c r="AB46" s="573" t="s">
        <v>288</v>
      </c>
      <c r="AC46" s="573" t="s">
        <v>288</v>
      </c>
      <c r="AD46" s="573" t="s">
        <v>288</v>
      </c>
      <c r="AE46" s="573" t="s">
        <v>288</v>
      </c>
    </row>
    <row r="47" spans="1:31" ht="15.75">
      <c r="A47" s="591"/>
      <c r="B47" s="591"/>
      <c r="C47" s="591"/>
      <c r="D47" s="570">
        <f>'Cost Share Summary'!Y52</f>
        <v>0</v>
      </c>
      <c r="E47" s="572">
        <f>'Cost Share Summary'!Z52</f>
        <v>0</v>
      </c>
      <c r="F47" s="572">
        <f>'Cost Share Summary'!AA52</f>
        <v>0</v>
      </c>
      <c r="G47" s="570">
        <f>'Cost Share Summary'!AB52</f>
        <v>0</v>
      </c>
      <c r="H47" s="572">
        <f>'Cost Share Summary'!AC52</f>
        <v>0</v>
      </c>
      <c r="I47" s="572">
        <f>'Cost Share Summary'!AD52</f>
        <v>0</v>
      </c>
      <c r="J47" s="570">
        <f>'Cost Share Summary'!AE52</f>
        <v>0</v>
      </c>
      <c r="K47" s="572">
        <f>'Cost Share Summary'!AF52</f>
        <v>0</v>
      </c>
      <c r="L47" s="572">
        <f>'Cost Share Summary'!AG52</f>
        <v>0</v>
      </c>
      <c r="M47" s="570">
        <f>'Cost Share Summary'!AH52</f>
        <v>0</v>
      </c>
      <c r="N47" s="572">
        <f>'Cost Share Summary'!AI52</f>
        <v>0</v>
      </c>
      <c r="O47" s="572">
        <f>'Cost Share Summary'!AJ52</f>
        <v>0</v>
      </c>
      <c r="P47" s="570">
        <f>'Cost Share Summary'!AK52</f>
        <v>0</v>
      </c>
      <c r="Q47" s="572">
        <f>'Cost Share Summary'!AL52</f>
        <v>0</v>
      </c>
      <c r="R47" s="572">
        <f>'Cost Share Summary'!AM52</f>
        <v>0</v>
      </c>
      <c r="S47" s="570">
        <f>D47+G47+J47+M47+P47</f>
        <v>0</v>
      </c>
      <c r="T47" s="572">
        <f>E47+H47+K47+N47+Q47</f>
        <v>0</v>
      </c>
      <c r="U47" s="572">
        <f>F47+I47+L47+O47+R47</f>
        <v>0</v>
      </c>
      <c r="V47" s="61"/>
      <c r="W47" s="661"/>
      <c r="X47" s="662"/>
      <c r="Y47" s="663"/>
      <c r="Z47" s="574">
        <f>'Cost Share Summary'!AU52</f>
        <v>0</v>
      </c>
      <c r="AA47" s="574">
        <f>'Cost Share Summary'!AV52</f>
        <v>0</v>
      </c>
      <c r="AB47" s="574">
        <f>'Cost Share Summary'!AW52</f>
        <v>0</v>
      </c>
      <c r="AC47" s="574">
        <f>'Cost Share Summary'!AX52</f>
        <v>0</v>
      </c>
      <c r="AD47" s="574">
        <f>'Cost Share Summary'!AY52</f>
        <v>0</v>
      </c>
      <c r="AE47" s="574">
        <f>Z47+AA47+AB47+AC47+AD47</f>
        <v>0</v>
      </c>
    </row>
    <row r="48" spans="1:31" ht="15.75">
      <c r="A48" s="591" t="str">
        <f>'BP1'!$D$38</f>
        <v>Graduate Student</v>
      </c>
      <c r="B48" s="591"/>
      <c r="C48" s="591"/>
      <c r="D48" s="569" t="s">
        <v>2</v>
      </c>
      <c r="E48" s="571" t="s">
        <v>198</v>
      </c>
      <c r="F48" s="571" t="s">
        <v>199</v>
      </c>
      <c r="G48" s="569" t="s">
        <v>2</v>
      </c>
      <c r="H48" s="571" t="s">
        <v>198</v>
      </c>
      <c r="I48" s="571" t="s">
        <v>199</v>
      </c>
      <c r="J48" s="569" t="s">
        <v>2</v>
      </c>
      <c r="K48" s="571" t="s">
        <v>198</v>
      </c>
      <c r="L48" s="571" t="s">
        <v>199</v>
      </c>
      <c r="M48" s="569" t="s">
        <v>2</v>
      </c>
      <c r="N48" s="571" t="s">
        <v>198</v>
      </c>
      <c r="O48" s="571" t="s">
        <v>199</v>
      </c>
      <c r="P48" s="569" t="s">
        <v>2</v>
      </c>
      <c r="Q48" s="571" t="s">
        <v>198</v>
      </c>
      <c r="R48" s="571" t="s">
        <v>199</v>
      </c>
      <c r="S48" s="569" t="s">
        <v>2</v>
      </c>
      <c r="T48" s="571" t="s">
        <v>198</v>
      </c>
      <c r="U48" s="571" t="s">
        <v>199</v>
      </c>
      <c r="V48" s="61"/>
      <c r="W48" s="658" t="str">
        <f>'BP1'!$D$38</f>
        <v>Graduate Student</v>
      </c>
      <c r="X48" s="659"/>
      <c r="Y48" s="660"/>
      <c r="Z48" s="573" t="s">
        <v>288</v>
      </c>
      <c r="AA48" s="573" t="s">
        <v>288</v>
      </c>
      <c r="AB48" s="573" t="s">
        <v>288</v>
      </c>
      <c r="AC48" s="573" t="s">
        <v>288</v>
      </c>
      <c r="AD48" s="573" t="s">
        <v>288</v>
      </c>
      <c r="AE48" s="573" t="s">
        <v>288</v>
      </c>
    </row>
    <row r="49" spans="1:31" ht="15.75">
      <c r="A49" s="591"/>
      <c r="B49" s="591"/>
      <c r="C49" s="591"/>
      <c r="D49" s="570">
        <f>'Cost Share Summary'!Y54</f>
        <v>0</v>
      </c>
      <c r="E49" s="572">
        <f>'Cost Share Summary'!Z54</f>
        <v>0</v>
      </c>
      <c r="F49" s="572">
        <f>'Cost Share Summary'!AA54</f>
        <v>0</v>
      </c>
      <c r="G49" s="570">
        <f>'Cost Share Summary'!AB54</f>
        <v>0</v>
      </c>
      <c r="H49" s="572">
        <f>'Cost Share Summary'!AC54</f>
        <v>0</v>
      </c>
      <c r="I49" s="572">
        <f>'Cost Share Summary'!AD54</f>
        <v>0</v>
      </c>
      <c r="J49" s="570">
        <f>'Cost Share Summary'!AE54</f>
        <v>0</v>
      </c>
      <c r="K49" s="572">
        <f>'Cost Share Summary'!AF54</f>
        <v>0</v>
      </c>
      <c r="L49" s="572">
        <f>'Cost Share Summary'!AG54</f>
        <v>0</v>
      </c>
      <c r="M49" s="570">
        <f>'Cost Share Summary'!AH54</f>
        <v>0</v>
      </c>
      <c r="N49" s="572">
        <f>'Cost Share Summary'!AI54</f>
        <v>0</v>
      </c>
      <c r="O49" s="572">
        <f>'Cost Share Summary'!AJ54</f>
        <v>0</v>
      </c>
      <c r="P49" s="570">
        <f>'Cost Share Summary'!AK54</f>
        <v>0</v>
      </c>
      <c r="Q49" s="572">
        <f>'Cost Share Summary'!AL54</f>
        <v>0</v>
      </c>
      <c r="R49" s="572">
        <f>'Cost Share Summary'!AM54</f>
        <v>0</v>
      </c>
      <c r="S49" s="570">
        <f>D49+G49+J49+M49+P49</f>
        <v>0</v>
      </c>
      <c r="T49" s="572">
        <f>E49+H49+K49+N49+Q49</f>
        <v>0</v>
      </c>
      <c r="U49" s="572">
        <f>F49+I49+L49+O49+R49</f>
        <v>0</v>
      </c>
      <c r="V49" s="61"/>
      <c r="W49" s="661"/>
      <c r="X49" s="662"/>
      <c r="Y49" s="663"/>
      <c r="Z49" s="574">
        <f>'Cost Share Summary'!AU54</f>
        <v>0</v>
      </c>
      <c r="AA49" s="574">
        <f>'Cost Share Summary'!AV54</f>
        <v>0</v>
      </c>
      <c r="AB49" s="574">
        <f>'Cost Share Summary'!AW54</f>
        <v>0</v>
      </c>
      <c r="AC49" s="574">
        <f>'Cost Share Summary'!AX54</f>
        <v>0</v>
      </c>
      <c r="AD49" s="574">
        <f>'Cost Share Summary'!AY54</f>
        <v>0</v>
      </c>
      <c r="AE49" s="574">
        <f>Z49+AA49+AB49+AC49+AD49</f>
        <v>0</v>
      </c>
    </row>
    <row r="50" spans="1:31" ht="15.75">
      <c r="A50" s="591" t="str">
        <f>'BP1'!$D$39</f>
        <v>Undergraduate Student</v>
      </c>
      <c r="B50" s="591"/>
      <c r="C50" s="591"/>
      <c r="D50" s="569" t="s">
        <v>2</v>
      </c>
      <c r="E50" s="571" t="s">
        <v>198</v>
      </c>
      <c r="F50" s="571" t="s">
        <v>199</v>
      </c>
      <c r="G50" s="569" t="s">
        <v>2</v>
      </c>
      <c r="H50" s="571" t="s">
        <v>198</v>
      </c>
      <c r="I50" s="571" t="s">
        <v>199</v>
      </c>
      <c r="J50" s="569" t="s">
        <v>2</v>
      </c>
      <c r="K50" s="571" t="s">
        <v>198</v>
      </c>
      <c r="L50" s="571" t="s">
        <v>199</v>
      </c>
      <c r="M50" s="569" t="s">
        <v>2</v>
      </c>
      <c r="N50" s="571" t="s">
        <v>198</v>
      </c>
      <c r="O50" s="571" t="s">
        <v>199</v>
      </c>
      <c r="P50" s="569" t="s">
        <v>2</v>
      </c>
      <c r="Q50" s="571" t="s">
        <v>198</v>
      </c>
      <c r="R50" s="571" t="s">
        <v>199</v>
      </c>
      <c r="S50" s="569" t="s">
        <v>2</v>
      </c>
      <c r="T50" s="571" t="s">
        <v>198</v>
      </c>
      <c r="U50" s="571" t="s">
        <v>199</v>
      </c>
      <c r="V50" s="61"/>
      <c r="W50" s="664" t="str">
        <f>'BP1'!$D$39</f>
        <v>Undergraduate Student</v>
      </c>
      <c r="X50" s="664"/>
      <c r="Y50" s="664"/>
      <c r="Z50" s="573" t="s">
        <v>288</v>
      </c>
      <c r="AA50" s="573" t="s">
        <v>288</v>
      </c>
      <c r="AB50" s="573" t="s">
        <v>288</v>
      </c>
      <c r="AC50" s="573" t="s">
        <v>288</v>
      </c>
      <c r="AD50" s="573" t="s">
        <v>288</v>
      </c>
      <c r="AE50" s="573" t="s">
        <v>288</v>
      </c>
    </row>
    <row r="51" spans="1:31" ht="15.75">
      <c r="A51" s="591"/>
      <c r="B51" s="591"/>
      <c r="C51" s="591"/>
      <c r="D51" s="570">
        <f>'Cost Share Summary'!Y56</f>
        <v>0</v>
      </c>
      <c r="E51" s="572">
        <f>'Cost Share Summary'!Z56</f>
        <v>0</v>
      </c>
      <c r="F51" s="572">
        <f>'Cost Share Summary'!AA56</f>
        <v>0</v>
      </c>
      <c r="G51" s="570">
        <f>'Cost Share Summary'!AB56</f>
        <v>0</v>
      </c>
      <c r="H51" s="572">
        <f>'Cost Share Summary'!AC56</f>
        <v>0</v>
      </c>
      <c r="I51" s="572">
        <f>'Cost Share Summary'!AD56</f>
        <v>0</v>
      </c>
      <c r="J51" s="570">
        <f>'Cost Share Summary'!AE56</f>
        <v>0</v>
      </c>
      <c r="K51" s="572">
        <f>'Cost Share Summary'!AF56</f>
        <v>0</v>
      </c>
      <c r="L51" s="572">
        <f>'Cost Share Summary'!AG56</f>
        <v>0</v>
      </c>
      <c r="M51" s="570">
        <f>'Cost Share Summary'!AH56</f>
        <v>0</v>
      </c>
      <c r="N51" s="572">
        <f>'Cost Share Summary'!AI56</f>
        <v>0</v>
      </c>
      <c r="O51" s="572">
        <f>'Cost Share Summary'!AJ56</f>
        <v>0</v>
      </c>
      <c r="P51" s="570">
        <f>'Cost Share Summary'!AK56</f>
        <v>0</v>
      </c>
      <c r="Q51" s="572">
        <f>'Cost Share Summary'!AL56</f>
        <v>0</v>
      </c>
      <c r="R51" s="572">
        <f>'Cost Share Summary'!AM56</f>
        <v>0</v>
      </c>
      <c r="S51" s="570">
        <f>D51+G51+J51+M51+P51</f>
        <v>0</v>
      </c>
      <c r="T51" s="572">
        <f>E51+H51+K51+N51+Q51</f>
        <v>0</v>
      </c>
      <c r="U51" s="572">
        <f>F51+I51+L51+O51+R51</f>
        <v>0</v>
      </c>
      <c r="V51" s="61"/>
      <c r="W51" s="664"/>
      <c r="X51" s="664"/>
      <c r="Y51" s="664"/>
      <c r="Z51" s="574">
        <f>'Cost Share Summary'!AU56</f>
        <v>0</v>
      </c>
      <c r="AA51" s="574">
        <f>'Cost Share Summary'!AV56</f>
        <v>0</v>
      </c>
      <c r="AB51" s="574">
        <f>'Cost Share Summary'!AW56</f>
        <v>0</v>
      </c>
      <c r="AC51" s="574">
        <f>'Cost Share Summary'!AX56</f>
        <v>0</v>
      </c>
      <c r="AD51" s="574">
        <f>'Cost Share Summary'!AY56</f>
        <v>0</v>
      </c>
      <c r="AE51" s="574">
        <f>Z51+AA51+AB51+AC51+AD51</f>
        <v>0</v>
      </c>
    </row>
    <row r="52" spans="1:31" ht="15.75">
      <c r="A52" s="591" t="str">
        <f>'BP1'!$D$40</f>
        <v>Other (Carrying Statutory Benefits)</v>
      </c>
      <c r="B52" s="591"/>
      <c r="C52" s="591"/>
      <c r="D52" s="569" t="s">
        <v>2</v>
      </c>
      <c r="E52" s="571" t="s">
        <v>198</v>
      </c>
      <c r="F52" s="571" t="s">
        <v>199</v>
      </c>
      <c r="G52" s="569" t="s">
        <v>2</v>
      </c>
      <c r="H52" s="571" t="s">
        <v>198</v>
      </c>
      <c r="I52" s="571" t="s">
        <v>199</v>
      </c>
      <c r="J52" s="569" t="s">
        <v>2</v>
      </c>
      <c r="K52" s="571" t="s">
        <v>198</v>
      </c>
      <c r="L52" s="571" t="s">
        <v>199</v>
      </c>
      <c r="M52" s="569" t="s">
        <v>2</v>
      </c>
      <c r="N52" s="571" t="s">
        <v>198</v>
      </c>
      <c r="O52" s="571" t="s">
        <v>199</v>
      </c>
      <c r="P52" s="569" t="s">
        <v>2</v>
      </c>
      <c r="Q52" s="571" t="s">
        <v>198</v>
      </c>
      <c r="R52" s="571" t="s">
        <v>199</v>
      </c>
      <c r="S52" s="569" t="s">
        <v>2</v>
      </c>
      <c r="T52" s="571" t="s">
        <v>198</v>
      </c>
      <c r="U52" s="571" t="s">
        <v>199</v>
      </c>
      <c r="V52" s="61"/>
      <c r="W52" s="658" t="str">
        <f>'BP1'!$D$40</f>
        <v>Other (Carrying Statutory Benefits)</v>
      </c>
      <c r="X52" s="659"/>
      <c r="Y52" s="660"/>
      <c r="Z52" s="573" t="s">
        <v>288</v>
      </c>
      <c r="AA52" s="573" t="s">
        <v>288</v>
      </c>
      <c r="AB52" s="573" t="s">
        <v>288</v>
      </c>
      <c r="AC52" s="573" t="s">
        <v>288</v>
      </c>
      <c r="AD52" s="573" t="s">
        <v>288</v>
      </c>
      <c r="AE52" s="573" t="s">
        <v>288</v>
      </c>
    </row>
    <row r="53" spans="1:31" ht="15.75">
      <c r="A53" s="591"/>
      <c r="B53" s="591"/>
      <c r="C53" s="591"/>
      <c r="D53" s="570">
        <f>'Cost Share Summary'!Y58</f>
        <v>0</v>
      </c>
      <c r="E53" s="572">
        <f>'Cost Share Summary'!Z58</f>
        <v>0</v>
      </c>
      <c r="F53" s="572">
        <f>'Cost Share Summary'!AA58</f>
        <v>0</v>
      </c>
      <c r="G53" s="570">
        <f>'Cost Share Summary'!AB58</f>
        <v>0</v>
      </c>
      <c r="H53" s="572">
        <f>'Cost Share Summary'!AC58</f>
        <v>0</v>
      </c>
      <c r="I53" s="572">
        <f>'Cost Share Summary'!AD58</f>
        <v>0</v>
      </c>
      <c r="J53" s="570">
        <f>'Cost Share Summary'!AE58</f>
        <v>0</v>
      </c>
      <c r="K53" s="572">
        <f>'Cost Share Summary'!AF58</f>
        <v>0</v>
      </c>
      <c r="L53" s="572">
        <f>'Cost Share Summary'!AG58</f>
        <v>0</v>
      </c>
      <c r="M53" s="570">
        <f>'Cost Share Summary'!AH58</f>
        <v>0</v>
      </c>
      <c r="N53" s="572">
        <f>'Cost Share Summary'!AI58</f>
        <v>0</v>
      </c>
      <c r="O53" s="572">
        <f>'Cost Share Summary'!AJ58</f>
        <v>0</v>
      </c>
      <c r="P53" s="570">
        <f>'Cost Share Summary'!AK58</f>
        <v>0</v>
      </c>
      <c r="Q53" s="572">
        <f>'Cost Share Summary'!AL58</f>
        <v>0</v>
      </c>
      <c r="R53" s="572">
        <f>'Cost Share Summary'!AM58</f>
        <v>0</v>
      </c>
      <c r="S53" s="570">
        <f>D53+G53+J53+M53+P53</f>
        <v>0</v>
      </c>
      <c r="T53" s="572">
        <f>E53+H53+K53+N53+Q53</f>
        <v>0</v>
      </c>
      <c r="U53" s="572">
        <f>F53+I53+L53+O53+R53</f>
        <v>0</v>
      </c>
      <c r="V53" s="61"/>
      <c r="W53" s="661"/>
      <c r="X53" s="662"/>
      <c r="Y53" s="663"/>
      <c r="Z53" s="574">
        <f>'Cost Share Summary'!AU58</f>
        <v>0</v>
      </c>
      <c r="AA53" s="574">
        <f>'Cost Share Summary'!AV58</f>
        <v>0</v>
      </c>
      <c r="AB53" s="574">
        <f>'Cost Share Summary'!AW58</f>
        <v>0</v>
      </c>
      <c r="AC53" s="574">
        <f>'Cost Share Summary'!AX58</f>
        <v>0</v>
      </c>
      <c r="AD53" s="574">
        <f>'Cost Share Summary'!AY58</f>
        <v>0</v>
      </c>
      <c r="AE53" s="574">
        <f>Z53+AA53+AB53+AC53+AD53</f>
        <v>0</v>
      </c>
    </row>
  </sheetData>
  <mergeCells count="68">
    <mergeCell ref="A1:U1"/>
    <mergeCell ref="W1:AE1"/>
    <mergeCell ref="A2:C2"/>
    <mergeCell ref="D2:F2"/>
    <mergeCell ref="G2:I2"/>
    <mergeCell ref="J2:L2"/>
    <mergeCell ref="M2:O2"/>
    <mergeCell ref="P2:R2"/>
    <mergeCell ref="S2:U2"/>
    <mergeCell ref="W2:Y2"/>
    <mergeCell ref="A3:C4"/>
    <mergeCell ref="W3:Y4"/>
    <mergeCell ref="A5:C6"/>
    <mergeCell ref="W5:Y6"/>
    <mergeCell ref="A7:C8"/>
    <mergeCell ref="W7:Y8"/>
    <mergeCell ref="A9:C10"/>
    <mergeCell ref="W9:Y10"/>
    <mergeCell ref="A11:C12"/>
    <mergeCell ref="W11:Y12"/>
    <mergeCell ref="A13:C14"/>
    <mergeCell ref="W13:Y14"/>
    <mergeCell ref="A19:C20"/>
    <mergeCell ref="W19:Y20"/>
    <mergeCell ref="A21:C22"/>
    <mergeCell ref="W21:Y22"/>
    <mergeCell ref="A15:C16"/>
    <mergeCell ref="W15:Y16"/>
    <mergeCell ref="A17:C18"/>
    <mergeCell ref="W17:Y18"/>
    <mergeCell ref="A23:C24"/>
    <mergeCell ref="W23:Y24"/>
    <mergeCell ref="A25:C26"/>
    <mergeCell ref="W25:Y26"/>
    <mergeCell ref="A27:C28"/>
    <mergeCell ref="W27:Y28"/>
    <mergeCell ref="A29:C30"/>
    <mergeCell ref="W29:Y30"/>
    <mergeCell ref="A31:C32"/>
    <mergeCell ref="W31:Y32"/>
    <mergeCell ref="A34:U34"/>
    <mergeCell ref="W34:AE34"/>
    <mergeCell ref="S35:U35"/>
    <mergeCell ref="W35:Y35"/>
    <mergeCell ref="A36:C37"/>
    <mergeCell ref="W36:Y37"/>
    <mergeCell ref="A38:C39"/>
    <mergeCell ref="W38:Y39"/>
    <mergeCell ref="A35:C35"/>
    <mergeCell ref="D35:F35"/>
    <mergeCell ref="G35:I35"/>
    <mergeCell ref="J35:L35"/>
    <mergeCell ref="M35:O35"/>
    <mergeCell ref="P35:R35"/>
    <mergeCell ref="A40:C41"/>
    <mergeCell ref="W40:Y41"/>
    <mergeCell ref="A42:C43"/>
    <mergeCell ref="W42:Y43"/>
    <mergeCell ref="A44:C45"/>
    <mergeCell ref="W44:Y45"/>
    <mergeCell ref="A52:C53"/>
    <mergeCell ref="W52:Y53"/>
    <mergeCell ref="A46:C47"/>
    <mergeCell ref="W46:Y47"/>
    <mergeCell ref="A48:C49"/>
    <mergeCell ref="W48:Y49"/>
    <mergeCell ref="A50:C51"/>
    <mergeCell ref="W50:Y51"/>
  </mergeCells>
  <pageMargins left="0.7" right="0.7" top="0.75" bottom="0.75" header="0.3" footer="0.3"/>
  <pageSetup orientation="portrait" horizontalDpi="1200" verticalDpi="120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
    <tabColor theme="5" tint="0.59999389629810485"/>
    <pageSetUpPr fitToPage="1"/>
  </sheetPr>
  <dimension ref="A1:AD94"/>
  <sheetViews>
    <sheetView zoomScaleNormal="100" workbookViewId="0">
      <selection activeCell="U1" sqref="U1"/>
    </sheetView>
  </sheetViews>
  <sheetFormatPr defaultRowHeight="12.75"/>
  <cols>
    <col min="1" max="2" width="9.85546875" customWidth="1"/>
    <col min="3" max="3" width="8.42578125" customWidth="1"/>
    <col min="4" max="4" width="14.5703125" customWidth="1"/>
    <col min="5" max="5" width="8.42578125" customWidth="1"/>
    <col min="6" max="6" width="14.5703125" customWidth="1"/>
    <col min="7" max="7" width="8.42578125" customWidth="1"/>
    <col min="8" max="8" width="14.5703125" customWidth="1"/>
    <col min="9" max="18" width="20.28515625" hidden="1" customWidth="1"/>
    <col min="19" max="19" width="20.28515625" bestFit="1" customWidth="1"/>
    <col min="20" max="20" width="20.28515625" customWidth="1"/>
    <col min="21" max="21" width="50" customWidth="1"/>
    <col min="22" max="22" width="2.140625" customWidth="1"/>
    <col min="24" max="24" width="4.85546875" customWidth="1"/>
  </cols>
  <sheetData>
    <row r="1" spans="1:28" ht="22.5" customHeight="1" thickBot="1">
      <c r="A1" s="895" t="s">
        <v>281</v>
      </c>
      <c r="B1" s="895"/>
      <c r="C1" s="895"/>
      <c r="D1" s="895"/>
      <c r="E1" s="895"/>
      <c r="F1" s="895"/>
      <c r="G1" s="895"/>
      <c r="H1" s="895"/>
      <c r="I1" s="209" t="s">
        <v>497</v>
      </c>
      <c r="J1" s="209" t="s">
        <v>498</v>
      </c>
      <c r="K1" s="209" t="s">
        <v>499</v>
      </c>
      <c r="L1" s="209" t="s">
        <v>500</v>
      </c>
      <c r="M1" s="209" t="s">
        <v>501</v>
      </c>
      <c r="N1" s="209" t="s">
        <v>502</v>
      </c>
      <c r="O1" s="209" t="s">
        <v>503</v>
      </c>
      <c r="P1" s="209" t="s">
        <v>504</v>
      </c>
      <c r="Q1" s="209" t="s">
        <v>505</v>
      </c>
      <c r="R1" s="209" t="s">
        <v>506</v>
      </c>
      <c r="S1" s="897" t="s">
        <v>228</v>
      </c>
      <c r="T1" s="898"/>
      <c r="U1" s="442" t="s">
        <v>218</v>
      </c>
      <c r="W1" s="883" t="s">
        <v>159</v>
      </c>
      <c r="X1" s="884"/>
      <c r="Y1" s="884"/>
      <c r="Z1" s="884"/>
      <c r="AA1" s="884"/>
      <c r="AB1" s="885"/>
    </row>
    <row r="2" spans="1:28" ht="30" customHeight="1">
      <c r="A2" s="896" t="str">
        <f>'BP1'!A1</f>
        <v>Title</v>
      </c>
      <c r="B2" s="896"/>
      <c r="C2" s="896"/>
      <c r="D2" s="896"/>
      <c r="E2" s="896"/>
      <c r="F2" s="896"/>
      <c r="G2" s="896"/>
      <c r="H2" s="896"/>
      <c r="I2" s="225"/>
      <c r="J2" s="225"/>
      <c r="K2" s="225"/>
      <c r="L2" s="225"/>
      <c r="M2" s="225"/>
      <c r="N2" s="225"/>
      <c r="O2" s="225"/>
      <c r="P2" s="225"/>
      <c r="Q2" s="225"/>
      <c r="R2" s="225"/>
      <c r="S2" s="209" t="s">
        <v>494</v>
      </c>
      <c r="T2" s="209" t="s">
        <v>507</v>
      </c>
      <c r="U2" s="561" t="s">
        <v>186</v>
      </c>
      <c r="W2" s="886" t="s">
        <v>282</v>
      </c>
      <c r="X2" s="887"/>
      <c r="Y2" s="887"/>
      <c r="Z2" s="887"/>
      <c r="AA2" s="887"/>
      <c r="AB2" s="888"/>
    </row>
    <row r="3" spans="1:28" ht="15" customHeight="1">
      <c r="A3" s="881" t="str">
        <f ca="1">TEXT('BP1'!K8,"m/d/yyyy")&amp;" to "&amp;TEXT(INDIRECT("BP"&amp;'BP1'!K5&amp;"!K10"),"m/d/yyyy")</f>
        <v>9/1/2022 to 8/31/2023</v>
      </c>
      <c r="B3" s="881"/>
      <c r="C3" s="881"/>
      <c r="D3" s="881"/>
      <c r="E3" s="881"/>
      <c r="F3" s="881"/>
      <c r="G3" s="881"/>
      <c r="H3" s="881"/>
      <c r="I3" s="225"/>
      <c r="J3" s="225"/>
      <c r="K3" s="225"/>
      <c r="L3" s="225"/>
      <c r="M3" s="225"/>
      <c r="N3" s="225"/>
      <c r="O3" s="225"/>
      <c r="P3" s="225"/>
      <c r="Q3" s="225"/>
      <c r="R3" s="225"/>
      <c r="S3" s="210"/>
      <c r="T3" s="210"/>
      <c r="U3" s="561" t="s">
        <v>186</v>
      </c>
      <c r="W3" s="889"/>
      <c r="X3" s="890"/>
      <c r="Y3" s="890"/>
      <c r="Z3" s="890"/>
      <c r="AA3" s="890"/>
      <c r="AB3" s="891"/>
    </row>
    <row r="4" spans="1:28" ht="15" customHeight="1" thickBot="1">
      <c r="A4" s="881" t="str">
        <f>IF(OR('BP1'!E9="National Science Foundation",'BP1'!E9="NSF",'BP1'!E11="National Science Foundation",'BP1'!E11="NSF"),"Northwestern University uses its academic/fiscal year of 9/1 – 8/31 as the definition of “year” for tracking the NSF 2 months limit.","")</f>
        <v/>
      </c>
      <c r="B4" s="881"/>
      <c r="C4" s="881"/>
      <c r="D4" s="881"/>
      <c r="E4" s="881"/>
      <c r="F4" s="881"/>
      <c r="G4" s="881"/>
      <c r="H4" s="881"/>
      <c r="I4" s="225"/>
      <c r="J4" s="225"/>
      <c r="K4" s="225"/>
      <c r="L4" s="225"/>
      <c r="M4" s="225"/>
      <c r="N4" s="225"/>
      <c r="O4" s="225"/>
      <c r="P4" s="225"/>
      <c r="Q4" s="225"/>
      <c r="R4" s="225"/>
      <c r="S4" s="210"/>
      <c r="T4" s="210"/>
      <c r="U4" s="561" t="str">
        <f>IF(A4="","Blank","Populate")</f>
        <v>Blank</v>
      </c>
      <c r="W4" s="892"/>
      <c r="X4" s="893"/>
      <c r="Y4" s="893"/>
      <c r="Z4" s="893"/>
      <c r="AA4" s="893"/>
      <c r="AB4" s="894"/>
    </row>
    <row r="5" spans="1:28" ht="15" customHeight="1">
      <c r="A5" s="881"/>
      <c r="B5" s="881"/>
      <c r="C5" s="881"/>
      <c r="D5" s="881"/>
      <c r="E5" s="881"/>
      <c r="F5" s="881"/>
      <c r="G5" s="881"/>
      <c r="H5" s="881"/>
      <c r="I5" s="225"/>
      <c r="J5" s="225"/>
      <c r="K5" s="225"/>
      <c r="L5" s="225"/>
      <c r="M5" s="225"/>
      <c r="N5" s="225"/>
      <c r="O5" s="225"/>
      <c r="P5" s="225"/>
      <c r="Q5" s="225"/>
      <c r="R5" s="225"/>
      <c r="S5" s="210"/>
      <c r="T5" s="210"/>
      <c r="U5" s="561" t="s">
        <v>186</v>
      </c>
      <c r="W5" s="210"/>
      <c r="X5" s="210"/>
      <c r="Y5" s="210"/>
      <c r="Z5" s="210"/>
      <c r="AA5" s="210"/>
      <c r="AB5" s="210"/>
    </row>
    <row r="6" spans="1:28" ht="15" customHeight="1">
      <c r="A6" s="882" t="str">
        <f ca="1">IF(OR(SUM('Cumulative Budget'!K15:K29)&gt;0,SUM('Cumulative Budget'!N15:N29)&gt;0),"Senior Personnel:","")</f>
        <v/>
      </c>
      <c r="B6" s="882"/>
      <c r="C6" s="882"/>
      <c r="D6" s="882"/>
      <c r="E6" s="882"/>
      <c r="F6" s="882"/>
      <c r="G6" s="882"/>
      <c r="H6" s="882"/>
      <c r="I6" s="226"/>
      <c r="J6" s="226"/>
      <c r="K6" s="226"/>
      <c r="L6" s="226"/>
      <c r="M6" s="226"/>
      <c r="N6" s="226"/>
      <c r="O6" s="226"/>
      <c r="P6" s="226"/>
      <c r="Q6" s="226"/>
      <c r="R6" s="226"/>
      <c r="S6" s="210"/>
      <c r="T6" s="210"/>
      <c r="U6" s="561" t="str">
        <f t="shared" ref="U6:U21" ca="1" si="0">IF(A6="","Blank","Populate")</f>
        <v>Blank</v>
      </c>
    </row>
    <row r="7" spans="1:28" ht="60" customHeight="1">
      <c r="A7" s="880" t="str">
        <f>IF('Cumulative Budget'!H15+'Cumulative Budget'!I15+'Cumulative Budget'!J15&gt;0,IF(S7="Note: Effort changes in the outyears!",IF(I7&lt;&gt;"",I7&amp;" in Budget Period 1","")&amp;IF(AND(I7&lt;&gt;"",J7&lt;&gt;""),"; ","")&amp;IF(J7&lt;&gt;"",J7&amp;" in Budget Period 2","")&amp;IF(AND(OR(I7&lt;&gt;"",J7&lt;&gt;""),K7&lt;&gt;""),"; ","")&amp;IF(K7&lt;&gt;"",K7&amp;" in Budget Period 3","")&amp;IF(AND(OR(I7&lt;&gt;"",J7&lt;&gt;"",K7&lt;&gt;""),L7&lt;&gt;""),"; ","")&amp;IF(L7&lt;&gt;"",L7&amp;" in Budget Period 4","")&amp;IF(AND(OR(I7&lt;&gt;"",J7&lt;&gt;"",K7&lt;&gt;"",L7&lt;&gt;""),M7&lt;&gt;""),"; ","")&amp;IF(M7&lt;&gt;"",M7&amp;" in Budget Period 5","")&amp;" of "&amp;'BP1'!B15&amp;"'s salary is requested. ",I7&amp;" of "&amp;'BP1'!B15&amp;"'s salary is requested"&amp;IF('BP1'!$K$5&gt;1," each budget period for "&amp;'BP1'!$K$5&amp;" budget periods. ",". ")),"")&amp;IF('Cumulative Budget'!M15&gt;0,IF(T7="Note: Effort changes in the outyears!",IF(N7&lt;&gt;"",N7&amp;" in Budget Period 1","")&amp;IF(AND(N7&lt;&gt;"",O7&lt;&gt;""),"; ","")&amp;IF(O7&lt;&gt;"",O7&amp;" in Budget Period 2","")&amp;IF(AND(OR(N7&lt;&gt;"",O7&lt;&gt;""),P7&lt;&gt;""),"; ","")&amp;IF(P7&lt;&gt;"",P7&amp;" in Budget Period 3","")&amp;IF(AND(OR(N7&lt;&gt;"",O7&lt;&gt;"",P7&lt;&gt;""),Q7&lt;&gt;""),"; ","")&amp;IF(Q7&lt;&gt;"",Q7&amp;" in Budget Period 4","")&amp;IF(AND(OR(N7&lt;&gt;"",O7&lt;&gt;"",P7&lt;&gt;"",Q7&lt;&gt;""),R7&lt;&gt;""),"; ","")&amp;IF(R7&lt;&gt;"",R7&amp;" in Budget Period 5","")&amp;" of "&amp;'BP1'!B15&amp;"'s salary is requested. ",N7&amp;" of "&amp;'BP1'!B15&amp;"'s salary is requested"&amp;IF('BP1'!$K$5&gt;1," each budget period for "&amp;'BP1'!$K$5&amp;" budget periods. ",". ")),"")&amp;IF(OR('BP1'!G15=10,'BP1'!G15=11),'BP1'!B15&amp;" currently has a"&amp;IF('BP1'!G15=11,"n "," ")&amp;'BP1'!G15&amp;"-month appointment. ","")&amp;IF(AND('BP1'!$K$5&gt;1,'BP1'!$K$7&gt;0,OR('Cumulative Budget'!H15+'Cumulative Budget'!I15+'Cumulative Budget'!J15+'Cumulative Budget'!M15&gt;0)),"Salary is inflated by "&amp;('BP1'!$K$7*100)&amp;"% annually each September. ","")&amp;IF(ISBLANK('BP1'!Q15),"",'BP1'!Q15)</f>
        <v/>
      </c>
      <c r="B7" s="880"/>
      <c r="C7" s="880"/>
      <c r="D7" s="880"/>
      <c r="E7" s="880"/>
      <c r="F7" s="880"/>
      <c r="G7" s="880"/>
      <c r="H7" s="880"/>
      <c r="I7" s="224" t="str">
        <f>IF(SUM('Cumulative Budget'!H15:J15)&gt;0,(IF('BP1'!$K$5&gt;0,((IF('BP1'!H15&gt;0,CONCATENATE(IF('BP1'!H15&gt;0,TEXT('BP1'!H15,"0.00")&amp;" calendar month"&amp;IF('BP1'!H15&gt;1,"s",)&amp;" (or "&amp;TEXT('BP1'!H15/'BP1'!G15,"0%")&amp;" calendar effort)",)),CONCATENATE(IF('BP1'!I15&gt;0,TEXT('BP1'!I15,"0.00")&amp;" academic month"&amp;IF('BP1'!I15&gt;1,"s",)&amp;" (or "&amp;TEXT('BP1'!I15/9,"0%")&amp;" academic effort)",),IF(AND('BP1'!I15&gt;0,'BP1'!J15&gt;0)," and ",),IF('BP1'!J15&gt;0,TEXT('BP1'!J15,"0.00")&amp;" summer month"&amp;IF('BP1'!J15&gt;1,"s",)&amp;" (or "&amp;TEXT('BP1'!J15/3,"0%")&amp;" summer effort)",))))),"")),"")</f>
        <v/>
      </c>
      <c r="J7" s="224" t="str">
        <f>IF(SUM('Cumulative Budget'!H15:J15)&gt;0,(IF('BP1'!$K$5&gt;1,((IF('BP2'!H15&gt;0,CONCATENATE(IF('BP2'!H15&gt;0,TEXT('BP2'!H15,"0.00")&amp;" calendar month"&amp;IF('BP2'!H15&gt;1,"s",)&amp;" (or "&amp;TEXT('BP2'!H15/'BP2'!G15,"0%")&amp;" calendar effort)",)),CONCATENATE(IF('BP2'!I15&gt;0,TEXT('BP2'!I15,"0.00")&amp;" academic month"&amp;IF('BP2'!I15&gt;1,"s",)&amp;" (or "&amp;TEXT('BP2'!I15/9,"0%")&amp;" academic effort)",),IF(AND('BP2'!I15&gt;0,'BP2'!J15&gt;0)," and ",),IF('BP2'!J15&gt;0,TEXT('BP2'!J15,"0.00")&amp;" summer month"&amp;IF('BP2'!J15&gt;1,"s",)&amp;" (or "&amp;TEXT('BP2'!J15/3,"0%")&amp;" summer effort)",))))),"")),"")</f>
        <v/>
      </c>
      <c r="K7" s="224" t="str">
        <f>IF(SUM('Cumulative Budget'!H15:J15)&gt;0,(IF('BP1'!$K$5&gt;2,((IF('BP3'!H15&gt;0,CONCATENATE(IF('BP3'!H15&gt;0,TEXT('BP3'!H15,"0.00")&amp;" calendar month"&amp;IF('BP3'!H15&gt;1,"s",)&amp;" (or "&amp;TEXT('BP3'!H15/'BP3'!G15,"0%")&amp;" calendar effort)",)),CONCATENATE(IF('BP3'!I15&gt;0,TEXT('BP3'!I15,"0.00")&amp;" academic month"&amp;IF('BP3'!I15&gt;1,"s",)&amp;" (or "&amp;TEXT('BP3'!I15/9,"0%")&amp;" academic effort)",),IF(AND('BP3'!I15&gt;0,'BP3'!J15&gt;0)," and ",),IF('BP3'!J15&gt;0,TEXT('BP3'!J15,"0.00")&amp;" summer month"&amp;IF('BP3'!J15&gt;1,"s",)&amp;" (or "&amp;TEXT('BP3'!J15/3,"0%")&amp;" summer effort)",))))),"")),"")</f>
        <v/>
      </c>
      <c r="L7" s="224" t="str">
        <f>IF(SUM('Cumulative Budget'!H15:J15)&gt;0,(IF('BP1'!$K$5&gt;3,((IF('BP4'!H15&gt;0,CONCATENATE(IF('BP4'!H15&gt;0,TEXT('BP4'!H15,"0.00")&amp;" calendar month"&amp;IF('BP4'!H15&gt;1,"s",)&amp;" (or "&amp;TEXT('BP4'!H15/'BP4'!G15,"0%")&amp;" calendar effort)",)),CONCATENATE(IF('BP4'!I15&gt;0,TEXT('BP4'!I15,"0.00")&amp;" academic month"&amp;IF('BP4'!I15&gt;1,"s",)&amp;" (or "&amp;TEXT('BP4'!I15/9,"0%")&amp;" academic effort)",),IF(AND('BP4'!I15&gt;0,'BP4'!J15&gt;0)," and ",),IF('BP4'!J15&gt;0,TEXT('BP4'!J15,"0.00")&amp;" summer month"&amp;IF('BP4'!J15&gt;1,"s",)&amp;" (or "&amp;TEXT('BP4'!J15/3,"0%")&amp;" summer effort)",))))),"")),"")</f>
        <v/>
      </c>
      <c r="M7" s="224" t="str">
        <f>IF(SUM('Cumulative Budget'!H15:J15)&gt;0,(IF('BP1'!$K$5&gt;4,((IF('BP5'!H15&gt;0,CONCATENATE(IF('BP5'!H15&gt;0,TEXT('BP5'!H15,"0.00")&amp;" calendar month"&amp;IF('BP5'!H15&gt;1,"s",)&amp;" (or "&amp;TEXT('BP5'!H15/'BP5'!G15,"0%")&amp;" calendar effort)",)),CONCATENATE(IF('BP5'!I15&gt;0,TEXT('BP5'!I15,"0.00")&amp;" academic month"&amp;IF('BP5'!I15&gt;1,"s",)&amp;" (or "&amp;TEXT('BP5'!I15/9,"0%")&amp;" academic effort)",),IF(AND('BP5'!I15&gt;0,'BP5'!J15&gt;0)," and ",),IF('BP5'!J15&gt;0,TEXT('BP5'!J15,"0.00")&amp;" summer month"&amp;IF('BP5'!J15&gt;1,"s",)&amp;" (or "&amp;TEXT('BP5'!J15/3,"0%")&amp;" summer effort)",))))),"")),"")</f>
        <v/>
      </c>
      <c r="N7" s="224" t="str">
        <f>IF(AND('BP1'!M15&gt;0,'BP1'!$A$5&gt;0),TEXT('BP1'!M15,"0.00")&amp;" cost-shared month"&amp;IF('BP1'!M15&gt;1,"s",)&amp;" (or "&amp;TEXT('BP1'!M15/'BP1'!G15,"0%")&amp;" cost-shared effort)","")</f>
        <v/>
      </c>
      <c r="O7" s="224" t="str">
        <f>IF(AND('BP2'!M15&gt;0,'BP2'!$A$5&gt;0),TEXT('BP2'!M15,"0.00")&amp;" cost-shared month"&amp;IF('BP2'!M15&gt;1,"s",)&amp;" (or "&amp;TEXT('BP2'!M15/'BP2'!G15,"0%")&amp;" cost-shared effort)","")</f>
        <v/>
      </c>
      <c r="P7" s="224" t="str">
        <f>IF(AND('BP3'!M15&gt;0,'BP3'!$A$5&gt;0),TEXT('BP3'!M15,"0.00")&amp;" cost-shared month"&amp;IF('BP3'!M15&gt;1,"s",)&amp;" (or "&amp;TEXT('BP3'!M15/'BP3'!G15,"0%")&amp;" cost-shared effort)","")</f>
        <v/>
      </c>
      <c r="Q7" s="224" t="str">
        <f>IF(AND('BP4'!M15&gt;0,'BP4'!$A$5&gt;0),TEXT('BP4'!M15,"0.00")&amp;" cost-shared month"&amp;IF('BP4'!M15&gt;1,"s",)&amp;" (or "&amp;TEXT('BP4'!M15/'BP4'!G15,"0%")&amp;" cost-shared effort)","")</f>
        <v/>
      </c>
      <c r="R7" s="224" t="str">
        <f>IF(AND('BP5'!M15&gt;0,'BP5'!$A$5&gt;0),TEXT('BP5'!M15,"0.00")&amp;" cost-shared month"&amp;IF('BP5'!M15&gt;1,"s",)&amp;" (or "&amp;TEXT('BP5'!M15/'BP5'!G15,"0%")&amp;" cost-shared effort)","")</f>
        <v/>
      </c>
      <c r="S7" s="210" t="str">
        <f>IF(AND('BP1'!$K$5=2,I7&lt;&gt;J7),"Note: Effort changes in the outyears!","")&amp;IF(AND('BP1'!$K$5=3,OR(I7&lt;&gt;J7,I7&lt;&gt;K7,J7&lt;&gt;K7)),"Note: Effort changes in the outyears!","")&amp;IF(AND('BP1'!$K$5=4,OR(I7&lt;&gt;J7,I7&lt;&gt;K7,I7&lt;&gt;L7,J7&lt;&gt;K7,J7&lt;&gt;L7,K7&lt;&gt;L7)),"Note: Effort changes in the outyears!","")&amp;IF(AND('BP1'!$K$5=5,OR(I7&lt;&gt;J7,I7&lt;&gt;K7,I7&lt;&gt;L7,I7&lt;&gt;M7,J7&lt;&gt;K7,J7&lt;&gt;L7,J7&lt;&gt;M7,K7&lt;&gt;L7,K7&lt;&gt;M7,L7&lt;&gt;M7)),"Note: Effort changes in the outyears!","")</f>
        <v/>
      </c>
      <c r="T7" s="210" t="str">
        <f>IF(AND('BP1'!$K$5=2,N7&lt;&gt;O7),"Note: Effort changes in the outyears!","")&amp;IF(AND('BP1'!$K$5=3,OR(N7&lt;&gt;O7,N7&lt;&gt;P7,O7&lt;&gt;P7)),"Note: Effort changes in the outyears!","")&amp;IF(AND('BP1'!$K$5=4,OR(N7&lt;&gt;O7,N7&lt;&gt;P7,N7&lt;&gt;Q7,O7&lt;&gt;P7,O7&lt;&gt;Q7,P7&lt;&gt;Q7)),"Note: Effort changes in the outyears!","")&amp;IF(AND('BP1'!$K$5=5,OR(N7&lt;&gt;O7,N7&lt;&gt;P7,N7&lt;&gt;Q7,N7&lt;&gt;R7,O7&lt;&gt;P7,O7&lt;&gt;Q7,O7&lt;&gt;R7,P7&lt;&gt;Q7,P7&lt;&gt;R7,Q7&lt;&gt;R7)),"Note: Effort changes in the outyears!","")</f>
        <v/>
      </c>
      <c r="U7" s="561" t="str">
        <f t="shared" si="0"/>
        <v>Blank</v>
      </c>
    </row>
    <row r="8" spans="1:28" ht="60" customHeight="1">
      <c r="A8" s="880" t="str">
        <f>IF('Cumulative Budget'!H16+'Cumulative Budget'!I16+'Cumulative Budget'!J16&gt;0,IF(S8="Note: Effort changes in the outyears!",IF(I8&lt;&gt;"",I8&amp;" in Budget Period 1","")&amp;IF(AND(I8&lt;&gt;"",J8&lt;&gt;""),"; ","")&amp;IF(J8&lt;&gt;"",J8&amp;" in Budget Period 2","")&amp;IF(AND(OR(I8&lt;&gt;"",J8&lt;&gt;""),K8&lt;&gt;""),"; ","")&amp;IF(K8&lt;&gt;"",K8&amp;" in Budget Period 3","")&amp;IF(AND(OR(I8&lt;&gt;"",J8&lt;&gt;"",K8&lt;&gt;""),L8&lt;&gt;""),"; ","")&amp;IF(L8&lt;&gt;"",L8&amp;" in Budget Period 4","")&amp;IF(AND(OR(I8&lt;&gt;"",J8&lt;&gt;"",K8&lt;&gt;"",L8&lt;&gt;""),M8&lt;&gt;""),"; ","")&amp;IF(M8&lt;&gt;"",M8&amp;" in Budget Period 5","")&amp;" of "&amp;'BP1'!B16&amp;"'s salary is requested. ",I8&amp;" of "&amp;'BP1'!B16&amp;"'s salary is requested"&amp;IF('BP1'!$K$5&gt;1," each budget period for "&amp;'BP1'!$K$5&amp;" budget periods. ",". ")),"")&amp;IF('Cumulative Budget'!M16&gt;0,IF(T8="Note: Effort changes in the outyears!",IF(N8&lt;&gt;"",N8&amp;" in Budget Period 1","")&amp;IF(AND(N8&lt;&gt;"",O8&lt;&gt;""),"; ","")&amp;IF(O8&lt;&gt;"",O8&amp;" in Budget Period 2","")&amp;IF(AND(OR(N8&lt;&gt;"",O8&lt;&gt;""),P8&lt;&gt;""),"; ","")&amp;IF(P8&lt;&gt;"",P8&amp;" in Budget Period 3","")&amp;IF(AND(OR(N8&lt;&gt;"",O8&lt;&gt;"",P8&lt;&gt;""),Q8&lt;&gt;""),"; ","")&amp;IF(Q8&lt;&gt;"",Q8&amp;" in Budget Period 4","")&amp;IF(AND(OR(N8&lt;&gt;"",O8&lt;&gt;"",P8&lt;&gt;"",Q8&lt;&gt;""),R8&lt;&gt;""),"; ","")&amp;IF(R8&lt;&gt;"",R8&amp;" in Budget Period 5","")&amp;" of "&amp;'BP1'!B16&amp;"'s salary is requested. ",N8&amp;" of "&amp;'BP1'!B16&amp;"'s salary is requested"&amp;IF('BP1'!$K$5&gt;1," each budget period for "&amp;'BP1'!$K$5&amp;" budget periods. ",". ")),"")&amp;IF(OR('BP1'!G16=10,'BP1'!G16=11),'BP1'!B16&amp;" currently has a"&amp;IF('BP1'!G16=11,"n "," ")&amp;'BP1'!G16&amp;"-month appointment. ","")&amp;IF(AND('BP1'!$K$5&gt;1,'BP1'!$K$7&gt;0,OR('Cumulative Budget'!H16+'Cumulative Budget'!I16+'Cumulative Budget'!J16+'Cumulative Budget'!M16&gt;0)),"Salary is inflated by "&amp;('BP1'!$K$7*100)&amp;"% annually each September. ","")&amp;IF(ISBLANK('BP1'!Q16),"",'BP1'!Q16)</f>
        <v/>
      </c>
      <c r="B8" s="880"/>
      <c r="C8" s="880"/>
      <c r="D8" s="880"/>
      <c r="E8" s="880"/>
      <c r="F8" s="880"/>
      <c r="G8" s="880"/>
      <c r="H8" s="880"/>
      <c r="I8" s="224" t="str">
        <f>IF(SUM('Cumulative Budget'!H16:J16)&gt;0,(IF('BP1'!$K$5&gt;0,((IF('BP1'!H16&gt;0,CONCATENATE(IF('BP1'!H16&gt;0,TEXT('BP1'!H16,"0.00")&amp;" calendar month"&amp;IF('BP1'!H16&gt;1,"s",)&amp;" (or "&amp;TEXT('BP1'!H16/'BP1'!G16,"0%")&amp;" calendar effort)",)),CONCATENATE(IF('BP1'!I16&gt;0,TEXT('BP1'!I16,"0.00")&amp;" academic month"&amp;IF('BP1'!I16&gt;1,"s",)&amp;" (or "&amp;TEXT('BP1'!I16/9,"0%")&amp;" academic effort)",),IF(AND('BP1'!I16&gt;0,'BP1'!J16&gt;0)," and ",),IF('BP1'!J16&gt;0,TEXT('BP1'!J16,"0.00")&amp;" summer month"&amp;IF('BP1'!J16&gt;1,"s",)&amp;" (or "&amp;TEXT('BP1'!J16/3,"0%")&amp;" summer effort)",))))),"")),"")</f>
        <v/>
      </c>
      <c r="J8" s="224" t="str">
        <f>IF(SUM('Cumulative Budget'!H16:J16)&gt;0,(IF('BP1'!$K$5&gt;1,((IF('BP2'!H16&gt;0,CONCATENATE(IF('BP2'!H16&gt;0,TEXT('BP2'!H16,"0.00")&amp;" calendar month"&amp;IF('BP2'!H16&gt;1,"s",)&amp;" (or "&amp;TEXT('BP2'!H16/'BP2'!G16,"0%")&amp;" calendar effort)",)),CONCATENATE(IF('BP2'!I16&gt;0,TEXT('BP2'!I16,"0.00")&amp;" academic month"&amp;IF('BP2'!I16&gt;1,"s",)&amp;" (or "&amp;TEXT('BP2'!I16/9,"0%")&amp;" academic effort)",),IF(AND('BP2'!I16&gt;0,'BP2'!J16&gt;0)," and ",),IF('BP2'!J16&gt;0,TEXT('BP2'!J16,"0.00")&amp;" summer month"&amp;IF('BP2'!J16&gt;1,"s",)&amp;" (or "&amp;TEXT('BP2'!J16/3,"0%")&amp;" summer effort)",))))),"")),"")</f>
        <v/>
      </c>
      <c r="K8" s="224" t="str">
        <f>IF(SUM('Cumulative Budget'!H16:J16)&gt;0,(IF('BP1'!$K$5&gt;2,((IF('BP3'!H16&gt;0,CONCATENATE(IF('BP3'!H16&gt;0,TEXT('BP3'!H16,"0.00")&amp;" calendar month"&amp;IF('BP3'!H16&gt;1,"s",)&amp;" (or "&amp;TEXT('BP3'!H16/'BP3'!G16,"0%")&amp;" calendar effort)",)),CONCATENATE(IF('BP3'!I16&gt;0,TEXT('BP3'!I16,"0.00")&amp;" academic month"&amp;IF('BP3'!I16&gt;1,"s",)&amp;" (or "&amp;TEXT('BP3'!I16/9,"0%")&amp;" academic effort)",),IF(AND('BP3'!I16&gt;0,'BP3'!J16&gt;0)," and ",),IF('BP3'!J16&gt;0,TEXT('BP3'!J16,"0.00")&amp;" summer month"&amp;IF('BP3'!J16&gt;1,"s",)&amp;" (or "&amp;TEXT('BP3'!J16/3,"0%")&amp;" summer effort)",))))),"")),"")</f>
        <v/>
      </c>
      <c r="L8" s="224" t="str">
        <f>IF(SUM('Cumulative Budget'!H16:J16)&gt;0,(IF('BP1'!$K$5&gt;3,((IF('BP4'!H16&gt;0,CONCATENATE(IF('BP4'!H16&gt;0,TEXT('BP4'!H16,"0.00")&amp;" calendar month"&amp;IF('BP4'!H16&gt;1,"s",)&amp;" (or "&amp;TEXT('BP4'!H16/'BP4'!G16,"0%")&amp;" calendar effort)",)),CONCATENATE(IF('BP4'!I16&gt;0,TEXT('BP4'!I16,"0.00")&amp;" academic month"&amp;IF('BP4'!I16&gt;1,"s",)&amp;" (or "&amp;TEXT('BP4'!I16/9,"0%")&amp;" academic effort)",),IF(AND('BP4'!I16&gt;0,'BP4'!J16&gt;0)," and ",),IF('BP4'!J16&gt;0,TEXT('BP4'!J16,"0.00")&amp;" summer month"&amp;IF('BP4'!J16&gt;1,"s",)&amp;" (or "&amp;TEXT('BP4'!J16/3,"0%")&amp;" summer effort)",))))),"")),"")</f>
        <v/>
      </c>
      <c r="M8" s="224" t="str">
        <f>IF(SUM('Cumulative Budget'!H16:J16)&gt;0,(IF('BP1'!$K$5&gt;4,((IF('BP5'!H16&gt;0,CONCATENATE(IF('BP5'!H16&gt;0,TEXT('BP5'!H16,"0.00")&amp;" calendar month"&amp;IF('BP5'!H16&gt;1,"s",)&amp;" (or "&amp;TEXT('BP5'!H16/'BP5'!G16,"0%")&amp;" calendar effort)",)),CONCATENATE(IF('BP5'!I16&gt;0,TEXT('BP5'!I16,"0.00")&amp;" academic month"&amp;IF('BP5'!I16&gt;1,"s",)&amp;" (or "&amp;TEXT('BP5'!I16/9,"0%")&amp;" academic effort)",),IF(AND('BP5'!I16&gt;0,'BP5'!J16&gt;0)," and ",),IF('BP5'!J16&gt;0,TEXT('BP5'!J16,"0.00")&amp;" summer month"&amp;IF('BP5'!J16&gt;1,"s",)&amp;" (or "&amp;TEXT('BP5'!J16/3,"0%")&amp;" summer effort)",))))),"")),"")</f>
        <v/>
      </c>
      <c r="N8" s="224" t="str">
        <f>IF(AND('BP1'!M16&gt;0,'BP1'!$A$5&gt;0),TEXT('BP1'!M16,"0.00")&amp;" cost-shared month"&amp;IF('BP1'!M16&gt;1,"s",)&amp;" (or "&amp;TEXT('BP1'!M16/'BP1'!G16,"0%")&amp;" cost-shared effort)","")</f>
        <v/>
      </c>
      <c r="O8" s="224" t="str">
        <f>IF(AND('BP2'!M16&gt;0,'BP2'!$A$5&gt;0),TEXT('BP2'!M16,"0.00")&amp;" cost-shared month"&amp;IF('BP2'!M16&gt;1,"s",)&amp;" (or "&amp;TEXT('BP2'!M16/'BP2'!G16,"0%")&amp;" cost-shared effort)","")</f>
        <v/>
      </c>
      <c r="P8" s="224" t="str">
        <f>IF(AND('BP3'!M16&gt;0,'BP3'!$A$5&gt;0),TEXT('BP3'!M16,"0.00")&amp;" cost-shared month"&amp;IF('BP3'!M16&gt;1,"s",)&amp;" (or "&amp;TEXT('BP3'!M16/'BP3'!G16,"0%")&amp;" cost-shared effort)","")</f>
        <v/>
      </c>
      <c r="Q8" s="224" t="str">
        <f>IF(AND('BP4'!M16&gt;0,'BP4'!$A$5&gt;0),TEXT('BP4'!M16,"0.00")&amp;" cost-shared month"&amp;IF('BP4'!M16&gt;1,"s",)&amp;" (or "&amp;TEXT('BP4'!M16/'BP4'!G16,"0%")&amp;" cost-shared effort)","")</f>
        <v/>
      </c>
      <c r="R8" s="224" t="str">
        <f>IF(AND('BP5'!M16&gt;0,'BP5'!$A$5&gt;0),TEXT('BP5'!M16,"0.00")&amp;" cost-shared month"&amp;IF('BP5'!M16&gt;1,"s",)&amp;" (or "&amp;TEXT('BP5'!M16/'BP5'!G16,"0%")&amp;" cost-shared effort)","")</f>
        <v/>
      </c>
      <c r="S8" s="210" t="str">
        <f>IF(AND('BP1'!$K$5=2,I8&lt;&gt;J8),"Note: Effort changes in the outyears!","")&amp;IF(AND('BP1'!$K$5=3,OR(I8&lt;&gt;J8,I8&lt;&gt;K8,J8&lt;&gt;K8)),"Note: Effort changes in the outyears!","")&amp;IF(AND('BP1'!$K$5=4,OR(I8&lt;&gt;J8,I8&lt;&gt;K8,I8&lt;&gt;L8,J8&lt;&gt;K8,J8&lt;&gt;L8,K8&lt;&gt;L8)),"Note: Effort changes in the outyears!","")&amp;IF(AND('BP1'!$K$5=5,OR(I8&lt;&gt;J8,I8&lt;&gt;K8,I8&lt;&gt;L8,I8&lt;&gt;M8,J8&lt;&gt;K8,J8&lt;&gt;L8,J8&lt;&gt;M8,K8&lt;&gt;L8,K8&lt;&gt;M8,L8&lt;&gt;M8)),"Note: Effort changes in the outyears!","")</f>
        <v/>
      </c>
      <c r="T8" s="210" t="str">
        <f>IF(AND('BP1'!$K$5=2,N8&lt;&gt;O8),"Note: Effort changes in the outyears!","")&amp;IF(AND('BP1'!$K$5=3,OR(N8&lt;&gt;O8,N8&lt;&gt;P8,O8&lt;&gt;P8)),"Note: Effort changes in the outyears!","")&amp;IF(AND('BP1'!$K$5=4,OR(N8&lt;&gt;O8,N8&lt;&gt;P8,N8&lt;&gt;Q8,O8&lt;&gt;P8,O8&lt;&gt;Q8,P8&lt;&gt;Q8)),"Note: Effort changes in the outyears!","")&amp;IF(AND('BP1'!$K$5=5,OR(N8&lt;&gt;O8,N8&lt;&gt;P8,N8&lt;&gt;Q8,N8&lt;&gt;R8,O8&lt;&gt;P8,O8&lt;&gt;Q8,O8&lt;&gt;R8,P8&lt;&gt;Q8,P8&lt;&gt;R8,Q8&lt;&gt;R8)),"Note: Effort changes in the outyears!","")</f>
        <v/>
      </c>
      <c r="U8" s="561" t="str">
        <f t="shared" si="0"/>
        <v>Blank</v>
      </c>
    </row>
    <row r="9" spans="1:28" ht="60" customHeight="1">
      <c r="A9" s="880" t="str">
        <f>IF('Cumulative Budget'!H17+'Cumulative Budget'!I17+'Cumulative Budget'!J17&gt;0,IF(S9="Note: Effort changes in the outyears!",IF(I9&lt;&gt;"",I9&amp;" in Budget Period 1","")&amp;IF(AND(I9&lt;&gt;"",J9&lt;&gt;""),"; ","")&amp;IF(J9&lt;&gt;"",J9&amp;" in Budget Period 2","")&amp;IF(AND(OR(I9&lt;&gt;"",J9&lt;&gt;""),K9&lt;&gt;""),"; ","")&amp;IF(K9&lt;&gt;"",K9&amp;" in Budget Period 3","")&amp;IF(AND(OR(I9&lt;&gt;"",J9&lt;&gt;"",K9&lt;&gt;""),L9&lt;&gt;""),"; ","")&amp;IF(L9&lt;&gt;"",L9&amp;" in Budget Period 4","")&amp;IF(AND(OR(I9&lt;&gt;"",J9&lt;&gt;"",K9&lt;&gt;"",L9&lt;&gt;""),M9&lt;&gt;""),"; ","")&amp;IF(M9&lt;&gt;"",M9&amp;" in Budget Period 5","")&amp;" of "&amp;'BP1'!B17&amp;"'s salary is requested. ",I9&amp;" of "&amp;'BP1'!B17&amp;"'s salary is requested"&amp;IF('BP1'!$K$5&gt;1," each budget period for "&amp;'BP1'!$K$5&amp;" budget periods. ",". ")),"")&amp;IF('Cumulative Budget'!M17&gt;0,IF(T9="Note: Effort changes in the outyears!",IF(N9&lt;&gt;"",N9&amp;" in Budget Period 1","")&amp;IF(AND(N9&lt;&gt;"",O9&lt;&gt;""),"; ","")&amp;IF(O9&lt;&gt;"",O9&amp;" in Budget Period 2","")&amp;IF(AND(OR(N9&lt;&gt;"",O9&lt;&gt;""),P9&lt;&gt;""),"; ","")&amp;IF(P9&lt;&gt;"",P9&amp;" in Budget Period 3","")&amp;IF(AND(OR(N9&lt;&gt;"",O9&lt;&gt;"",P9&lt;&gt;""),Q9&lt;&gt;""),"; ","")&amp;IF(Q9&lt;&gt;"",Q9&amp;" in Budget Period 4","")&amp;IF(AND(OR(N9&lt;&gt;"",O9&lt;&gt;"",P9&lt;&gt;"",Q9&lt;&gt;""),R9&lt;&gt;""),"; ","")&amp;IF(R9&lt;&gt;"",R9&amp;" in Budget Period 5","")&amp;" of "&amp;'BP1'!B17&amp;"'s salary is requested. ",N9&amp;" of "&amp;'BP1'!B17&amp;"'s salary is requested"&amp;IF('BP1'!$K$5&gt;1," each budget period for "&amp;'BP1'!$K$5&amp;" budget periods. ",". ")),"")&amp;IF(OR('BP1'!G17=10,'BP1'!G17=11),'BP1'!B17&amp;" currently has a"&amp;IF('BP1'!G17=11,"n "," ")&amp;'BP1'!G17&amp;"-month appointment. ","")&amp;IF(AND('BP1'!$K$5&gt;1,'BP1'!$K$7&gt;0,OR('Cumulative Budget'!H17+'Cumulative Budget'!I17+'Cumulative Budget'!J17+'Cumulative Budget'!M17&gt;0)),"Salary is inflated by "&amp;('BP1'!$K$7*100)&amp;"% annually each September. ","")&amp;IF(ISBLANK('BP1'!Q17),"",'BP1'!Q17)</f>
        <v/>
      </c>
      <c r="B9" s="880"/>
      <c r="C9" s="880"/>
      <c r="D9" s="880"/>
      <c r="E9" s="880"/>
      <c r="F9" s="880"/>
      <c r="G9" s="880"/>
      <c r="H9" s="880"/>
      <c r="I9" s="224" t="str">
        <f>IF(SUM('Cumulative Budget'!H17:J17)&gt;0,(IF('BP1'!$K$5&gt;0,((IF('BP1'!H17&gt;0,CONCATENATE(IF('BP1'!H17&gt;0,TEXT('BP1'!H17,"0.00")&amp;" calendar month"&amp;IF('BP1'!H17&gt;1,"s",)&amp;" (or "&amp;TEXT('BP1'!H17/'BP1'!G17,"0%")&amp;" calendar effort)",)),CONCATENATE(IF('BP1'!I17&gt;0,TEXT('BP1'!I17,"0.00")&amp;" academic month"&amp;IF('BP1'!I17&gt;1,"s",)&amp;" (or "&amp;TEXT('BP1'!I17/9,"0%")&amp;" academic effort)",),IF(AND('BP1'!I17&gt;0,'BP1'!J17&gt;0)," and ",),IF('BP1'!J17&gt;0,TEXT('BP1'!J17,"0.00")&amp;" summer month"&amp;IF('BP1'!J17&gt;1,"s",)&amp;" (or "&amp;TEXT('BP1'!J17/3,"0%")&amp;" summer effort)",))))),"")),"")</f>
        <v/>
      </c>
      <c r="J9" s="224" t="str">
        <f>IF(SUM('Cumulative Budget'!H17:J17)&gt;0,(IF('BP1'!$K$5&gt;1,((IF('BP2'!H17&gt;0,CONCATENATE(IF('BP2'!H17&gt;0,TEXT('BP2'!H17,"0.00")&amp;" calendar month"&amp;IF('BP2'!H17&gt;1,"s",)&amp;" (or "&amp;TEXT('BP2'!H17/'BP2'!G17,"0%")&amp;" calendar effort)",)),CONCATENATE(IF('BP2'!I17&gt;0,TEXT('BP2'!I17,"0.00")&amp;" academic month"&amp;IF('BP2'!I17&gt;1,"s",)&amp;" (or "&amp;TEXT('BP2'!I17/9,"0%")&amp;" academic effort)",),IF(AND('BP2'!I17&gt;0,'BP2'!J17&gt;0)," and ",),IF('BP2'!J17&gt;0,TEXT('BP2'!J17,"0.00")&amp;" summer month"&amp;IF('BP2'!J17&gt;1,"s",)&amp;" (or "&amp;TEXT('BP2'!J17/3,"0%")&amp;" summer effort)",))))),"")),"")</f>
        <v/>
      </c>
      <c r="K9" s="224" t="str">
        <f>IF(SUM('Cumulative Budget'!H17:J17)&gt;0,(IF('BP1'!$K$5&gt;2,((IF('BP3'!H17&gt;0,CONCATENATE(IF('BP3'!H17&gt;0,TEXT('BP3'!H17,"0.00")&amp;" calendar month"&amp;IF('BP3'!H17&gt;1,"s",)&amp;" (or "&amp;TEXT('BP3'!H17/'BP3'!G17,"0%")&amp;" calendar effort)",)),CONCATENATE(IF('BP3'!I17&gt;0,TEXT('BP3'!I17,"0.00")&amp;" academic month"&amp;IF('BP3'!I17&gt;1,"s",)&amp;" (or "&amp;TEXT('BP3'!I17/9,"0%")&amp;" academic effort)",),IF(AND('BP3'!I17&gt;0,'BP3'!J17&gt;0)," and ",),IF('BP3'!J17&gt;0,TEXT('BP3'!J17,"0.00")&amp;" summer month"&amp;IF('BP3'!J17&gt;1,"s",)&amp;" (or "&amp;TEXT('BP3'!J17/3,"0%")&amp;" summer effort)",))))),"")),"")</f>
        <v/>
      </c>
      <c r="L9" s="224" t="str">
        <f>IF(SUM('Cumulative Budget'!H17:J17)&gt;0,(IF('BP1'!$K$5&gt;3,((IF('BP4'!H17&gt;0,CONCATENATE(IF('BP4'!H17&gt;0,TEXT('BP4'!H17,"0.00")&amp;" calendar month"&amp;IF('BP4'!H17&gt;1,"s",)&amp;" (or "&amp;TEXT('BP4'!H17/'BP4'!G17,"0%")&amp;" calendar effort)",)),CONCATENATE(IF('BP4'!I17&gt;0,TEXT('BP4'!I17,"0.00")&amp;" academic month"&amp;IF('BP4'!I17&gt;1,"s",)&amp;" (or "&amp;TEXT('BP4'!I17/9,"0%")&amp;" academic effort)",),IF(AND('BP4'!I17&gt;0,'BP4'!J17&gt;0)," and ",),IF('BP4'!J17&gt;0,TEXT('BP4'!J17,"0.00")&amp;" summer month"&amp;IF('BP4'!J17&gt;1,"s",)&amp;" (or "&amp;TEXT('BP4'!J17/3,"0%")&amp;" summer effort)",))))),"")),"")</f>
        <v/>
      </c>
      <c r="M9" s="224" t="str">
        <f>IF(SUM('Cumulative Budget'!H17:J17)&gt;0,(IF('BP1'!$K$5&gt;4,((IF('BP5'!H17&gt;0,CONCATENATE(IF('BP5'!H17&gt;0,TEXT('BP5'!H17,"0.00")&amp;" calendar month"&amp;IF('BP5'!H17&gt;1,"s",)&amp;" (or "&amp;TEXT('BP5'!H17/'BP5'!G17,"0%")&amp;" calendar effort)",)),CONCATENATE(IF('BP5'!I17&gt;0,TEXT('BP5'!I17,"0.00")&amp;" academic month"&amp;IF('BP5'!I17&gt;1,"s",)&amp;" (or "&amp;TEXT('BP5'!I17/9,"0%")&amp;" academic effort)",),IF(AND('BP5'!I17&gt;0,'BP5'!J17&gt;0)," and ",),IF('BP5'!J17&gt;0,TEXT('BP5'!J17,"0.00")&amp;" summer month"&amp;IF('BP5'!J17&gt;1,"s",)&amp;" (or "&amp;TEXT('BP5'!J17/3,"0%")&amp;" summer effort)",))))),"")),"")</f>
        <v/>
      </c>
      <c r="N9" s="224" t="str">
        <f>IF(AND('BP1'!M17&gt;0,'BP1'!$A$5&gt;0),TEXT('BP1'!M17,"0.00")&amp;" cost-shared month"&amp;IF('BP1'!M17&gt;1,"s",)&amp;" (or "&amp;TEXT('BP1'!M17/'BP1'!G17,"0%")&amp;" cost-shared effort)","")</f>
        <v/>
      </c>
      <c r="O9" s="224" t="str">
        <f>IF(AND('BP2'!M17&gt;0,'BP2'!$A$5&gt;0),TEXT('BP2'!M17,"0.00")&amp;" cost-shared month"&amp;IF('BP2'!M17&gt;1,"s",)&amp;" (or "&amp;TEXT('BP2'!M17/'BP2'!G17,"0%")&amp;" cost-shared effort)","")</f>
        <v/>
      </c>
      <c r="P9" s="224" t="str">
        <f>IF(AND('BP3'!M17&gt;0,'BP3'!$A$5&gt;0),TEXT('BP3'!M17,"0.00")&amp;" cost-shared month"&amp;IF('BP3'!M17&gt;1,"s",)&amp;" (or "&amp;TEXT('BP3'!M17/'BP3'!G17,"0%")&amp;" cost-shared effort)","")</f>
        <v/>
      </c>
      <c r="Q9" s="224" t="str">
        <f>IF(AND('BP4'!M17&gt;0,'BP4'!$A$5&gt;0),TEXT('BP4'!M17,"0.00")&amp;" cost-shared month"&amp;IF('BP4'!M17&gt;1,"s",)&amp;" (or "&amp;TEXT('BP4'!M17/'BP4'!G17,"0%")&amp;" cost-shared effort)","")</f>
        <v/>
      </c>
      <c r="R9" s="224" t="str">
        <f>IF(AND('BP5'!M17&gt;0,'BP5'!$A$5&gt;0),TEXT('BP5'!M17,"0.00")&amp;" cost-shared month"&amp;IF('BP5'!M17&gt;1,"s",)&amp;" (or "&amp;TEXT('BP5'!M17/'BP5'!G17,"0%")&amp;" cost-shared effort)","")</f>
        <v/>
      </c>
      <c r="S9" s="210" t="str">
        <f>IF(AND('BP1'!$K$5=2,I9&lt;&gt;J9),"Note: Effort changes in the outyears!","")&amp;IF(AND('BP1'!$K$5=3,OR(I9&lt;&gt;J9,I9&lt;&gt;K9,J9&lt;&gt;K9)),"Note: Effort changes in the outyears!","")&amp;IF(AND('BP1'!$K$5=4,OR(I9&lt;&gt;J9,I9&lt;&gt;K9,I9&lt;&gt;L9,J9&lt;&gt;K9,J9&lt;&gt;L9,K9&lt;&gt;L9)),"Note: Effort changes in the outyears!","")&amp;IF(AND('BP1'!$K$5=5,OR(I9&lt;&gt;J9,I9&lt;&gt;K9,I9&lt;&gt;L9,I9&lt;&gt;M9,J9&lt;&gt;K9,J9&lt;&gt;L9,J9&lt;&gt;M9,K9&lt;&gt;L9,K9&lt;&gt;M9,L9&lt;&gt;M9)),"Note: Effort changes in the outyears!","")</f>
        <v/>
      </c>
      <c r="T9" s="210" t="str">
        <f>IF(AND('BP1'!$K$5=2,N9&lt;&gt;O9),"Note: Effort changes in the outyears!","")&amp;IF(AND('BP1'!$K$5=3,OR(N9&lt;&gt;O9,N9&lt;&gt;P9,O9&lt;&gt;P9)),"Note: Effort changes in the outyears!","")&amp;IF(AND('BP1'!$K$5=4,OR(N9&lt;&gt;O9,N9&lt;&gt;P9,N9&lt;&gt;Q9,O9&lt;&gt;P9,O9&lt;&gt;Q9,P9&lt;&gt;Q9)),"Note: Effort changes in the outyears!","")&amp;IF(AND('BP1'!$K$5=5,OR(N9&lt;&gt;O9,N9&lt;&gt;P9,N9&lt;&gt;Q9,N9&lt;&gt;R9,O9&lt;&gt;P9,O9&lt;&gt;Q9,O9&lt;&gt;R9,P9&lt;&gt;Q9,P9&lt;&gt;R9,Q9&lt;&gt;R9)),"Note: Effort changes in the outyears!","")</f>
        <v/>
      </c>
      <c r="U9" s="561" t="str">
        <f t="shared" si="0"/>
        <v>Blank</v>
      </c>
    </row>
    <row r="10" spans="1:28" ht="60" customHeight="1">
      <c r="A10" s="880" t="str">
        <f>IF('Cumulative Budget'!H18+'Cumulative Budget'!I18+'Cumulative Budget'!J18&gt;0,IF(S10="Note: Effort changes in the outyears!",IF(I10&lt;&gt;"",I10&amp;" in Budget Period 1","")&amp;IF(AND(I10&lt;&gt;"",J10&lt;&gt;""),"; ","")&amp;IF(J10&lt;&gt;"",J10&amp;" in Budget Period 2","")&amp;IF(AND(OR(I10&lt;&gt;"",J10&lt;&gt;""),K10&lt;&gt;""),"; ","")&amp;IF(K10&lt;&gt;"",K10&amp;" in Budget Period 3","")&amp;IF(AND(OR(I10&lt;&gt;"",J10&lt;&gt;"",K10&lt;&gt;""),L10&lt;&gt;""),"; ","")&amp;IF(L10&lt;&gt;"",L10&amp;" in Budget Period 4","")&amp;IF(AND(OR(I10&lt;&gt;"",J10&lt;&gt;"",K10&lt;&gt;"",L10&lt;&gt;""),M10&lt;&gt;""),"; ","")&amp;IF(M10&lt;&gt;"",M10&amp;" in Budget Period 5","")&amp;" of "&amp;'BP1'!B18&amp;"'s salary is requested. ",I10&amp;" of "&amp;'BP1'!B18&amp;"'s salary is requested"&amp;IF('BP1'!$K$5&gt;1," each budget period for "&amp;'BP1'!$K$5&amp;" budget periods. ",". ")),"")&amp;IF('Cumulative Budget'!M18&gt;0,IF(T10="Note: Effort changes in the outyears!",IF(N10&lt;&gt;"",N10&amp;" in Budget Period 1","")&amp;IF(AND(N10&lt;&gt;"",O10&lt;&gt;""),"; ","")&amp;IF(O10&lt;&gt;"",O10&amp;" in Budget Period 2","")&amp;IF(AND(OR(N10&lt;&gt;"",O10&lt;&gt;""),P10&lt;&gt;""),"; ","")&amp;IF(P10&lt;&gt;"",P10&amp;" in Budget Period 3","")&amp;IF(AND(OR(N10&lt;&gt;"",O10&lt;&gt;"",P10&lt;&gt;""),Q10&lt;&gt;""),"; ","")&amp;IF(Q10&lt;&gt;"",Q10&amp;" in Budget Period 4","")&amp;IF(AND(OR(N10&lt;&gt;"",O10&lt;&gt;"",P10&lt;&gt;"",Q10&lt;&gt;""),R10&lt;&gt;""),"; ","")&amp;IF(R10&lt;&gt;"",R10&amp;" in Budget Period 5","")&amp;" of "&amp;'BP1'!B18&amp;"'s salary is requested. ",N10&amp;" of "&amp;'BP1'!B18&amp;"'s salary is requested"&amp;IF('BP1'!$K$5&gt;1," each budget period for "&amp;'BP1'!$K$5&amp;" budget periods. ",". ")),"")&amp;IF(OR('BP1'!G18=10,'BP1'!G18=11),'BP1'!B18&amp;" currently has a"&amp;IF('BP1'!G18=11,"n "," ")&amp;'BP1'!G18&amp;"-month appointment. ","")&amp;IF(AND('BP1'!$K$5&gt;1,'BP1'!$K$7&gt;0,OR('Cumulative Budget'!H18+'Cumulative Budget'!I18+'Cumulative Budget'!J18+'Cumulative Budget'!M18&gt;0)),"Salary is inflated by "&amp;('BP1'!$K$7*100)&amp;"% annually each September. ","")&amp;IF(ISBLANK('BP1'!Q18),"",'BP1'!Q18)</f>
        <v/>
      </c>
      <c r="B10" s="880"/>
      <c r="C10" s="880"/>
      <c r="D10" s="880"/>
      <c r="E10" s="880"/>
      <c r="F10" s="880"/>
      <c r="G10" s="880"/>
      <c r="H10" s="880"/>
      <c r="I10" s="224" t="str">
        <f>IF(SUM('Cumulative Budget'!H18:J18)&gt;0,(IF('BP1'!$K$5&gt;0,((IF('BP1'!H18&gt;0,CONCATENATE(IF('BP1'!H18&gt;0,TEXT('BP1'!H18,"0.00")&amp;" calendar month"&amp;IF('BP1'!H18&gt;1,"s",)&amp;" (or "&amp;TEXT('BP1'!H18/'BP1'!G18,"0%")&amp;" calendar effort)",)),CONCATENATE(IF('BP1'!I18&gt;0,TEXT('BP1'!I18,"0.00")&amp;" academic month"&amp;IF('BP1'!I18&gt;1,"s",)&amp;" (or "&amp;TEXT('BP1'!I18/9,"0%")&amp;" academic effort)",),IF(AND('BP1'!I18&gt;0,'BP1'!J18&gt;0)," and ",),IF('BP1'!J18&gt;0,TEXT('BP1'!J18,"0.00")&amp;" summer month"&amp;IF('BP1'!J18&gt;1,"s",)&amp;" (or "&amp;TEXT('BP1'!J18/3,"0%")&amp;" summer effort)",))))),"")),"")</f>
        <v/>
      </c>
      <c r="J10" s="224" t="str">
        <f>IF(SUM('Cumulative Budget'!H18:J18)&gt;0,(IF('BP1'!$K$5&gt;1,((IF('BP2'!H18&gt;0,CONCATENATE(IF('BP2'!H18&gt;0,TEXT('BP2'!H18,"0.00")&amp;" calendar month"&amp;IF('BP2'!H18&gt;1,"s",)&amp;" (or "&amp;TEXT('BP2'!H18/'BP2'!G18,"0%")&amp;" calendar effort)",)),CONCATENATE(IF('BP2'!I18&gt;0,TEXT('BP2'!I18,"0.00")&amp;" academic month"&amp;IF('BP2'!I18&gt;1,"s",)&amp;" (or "&amp;TEXT('BP2'!I18/9,"0%")&amp;" academic effort)",),IF(AND('BP2'!I18&gt;0,'BP2'!J18&gt;0)," and ",),IF('BP2'!J18&gt;0,TEXT('BP2'!J18,"0.00")&amp;" summer month"&amp;IF('BP2'!J18&gt;1,"s",)&amp;" (or "&amp;TEXT('BP2'!J18/3,"0%")&amp;" summer effort)",))))),"")),"")</f>
        <v/>
      </c>
      <c r="K10" s="224" t="str">
        <f>IF(SUM('Cumulative Budget'!H18:J18)&gt;0,(IF('BP1'!$K$5&gt;2,((IF('BP3'!H18&gt;0,CONCATENATE(IF('BP3'!H18&gt;0,TEXT('BP3'!H18,"0.00")&amp;" calendar month"&amp;IF('BP3'!H18&gt;1,"s",)&amp;" (or "&amp;TEXT('BP3'!H18/'BP3'!G18,"0%")&amp;" calendar effort)",)),CONCATENATE(IF('BP3'!I18&gt;0,TEXT('BP3'!I18,"0.00")&amp;" academic month"&amp;IF('BP3'!I18&gt;1,"s",)&amp;" (or "&amp;TEXT('BP3'!I18/9,"0%")&amp;" academic effort)",),IF(AND('BP3'!I18&gt;0,'BP3'!J18&gt;0)," and ",),IF('BP3'!J18&gt;0,TEXT('BP3'!J18,"0.00")&amp;" summer month"&amp;IF('BP3'!J18&gt;1,"s",)&amp;" (or "&amp;TEXT('BP3'!J18/3,"0%")&amp;" summer effort)",))))),"")),"")</f>
        <v/>
      </c>
      <c r="L10" s="224" t="str">
        <f>IF(SUM('Cumulative Budget'!H18:J18)&gt;0,(IF('BP1'!$K$5&gt;3,((IF('BP4'!H18&gt;0,CONCATENATE(IF('BP4'!H18&gt;0,TEXT('BP4'!H18,"0.00")&amp;" calendar month"&amp;IF('BP4'!H18&gt;1,"s",)&amp;" (or "&amp;TEXT('BP4'!H18/'BP4'!G18,"0%")&amp;" calendar effort)",)),CONCATENATE(IF('BP4'!I18&gt;0,TEXT('BP4'!I18,"0.00")&amp;" academic month"&amp;IF('BP4'!I18&gt;1,"s",)&amp;" (or "&amp;TEXT('BP4'!I18/9,"0%")&amp;" academic effort)",),IF(AND('BP4'!I18&gt;0,'BP4'!J18&gt;0)," and ",),IF('BP4'!J18&gt;0,TEXT('BP4'!J18,"0.00")&amp;" summer month"&amp;IF('BP4'!J18&gt;1,"s",)&amp;" (or "&amp;TEXT('BP4'!J18/3,"0%")&amp;" summer effort)",))))),"")),"")</f>
        <v/>
      </c>
      <c r="M10" s="224" t="str">
        <f>IF(SUM('Cumulative Budget'!H18:J18)&gt;0,(IF('BP1'!$K$5&gt;4,((IF('BP5'!H18&gt;0,CONCATENATE(IF('BP5'!H18&gt;0,TEXT('BP5'!H18,"0.00")&amp;" calendar month"&amp;IF('BP5'!H18&gt;1,"s",)&amp;" (or "&amp;TEXT('BP5'!H18/'BP5'!G18,"0%")&amp;" calendar effort)",)),CONCATENATE(IF('BP5'!I18&gt;0,TEXT('BP5'!I18,"0.00")&amp;" academic month"&amp;IF('BP5'!I18&gt;1,"s",)&amp;" (or "&amp;TEXT('BP5'!I18/9,"0%")&amp;" academic effort)",),IF(AND('BP5'!I18&gt;0,'BP5'!J18&gt;0)," and ",),IF('BP5'!J18&gt;0,TEXT('BP5'!J18,"0.00")&amp;" summer month"&amp;IF('BP5'!J18&gt;1,"s",)&amp;" (or "&amp;TEXT('BP5'!J18/3,"0%")&amp;" summer effort)",))))),"")),"")</f>
        <v/>
      </c>
      <c r="N10" s="224" t="str">
        <f>IF(AND('BP1'!M18&gt;0,'BP1'!$A$5&gt;0),TEXT('BP1'!M18,"0.00")&amp;" cost-shared month"&amp;IF('BP1'!M18&gt;1,"s",)&amp;" (or "&amp;TEXT('BP1'!M18/'BP1'!G18,"0%")&amp;" cost-shared effort)","")</f>
        <v/>
      </c>
      <c r="O10" s="224" t="str">
        <f>IF(AND('BP2'!M18&gt;0,'BP2'!$A$5&gt;0),TEXT('BP2'!M18,"0.00")&amp;" cost-shared month"&amp;IF('BP2'!M18&gt;1,"s",)&amp;" (or "&amp;TEXT('BP2'!M18/'BP2'!G18,"0%")&amp;" cost-shared effort)","")</f>
        <v/>
      </c>
      <c r="P10" s="224" t="str">
        <f>IF(AND('BP3'!M18&gt;0,'BP3'!$A$5&gt;0),TEXT('BP3'!M18,"0.00")&amp;" cost-shared month"&amp;IF('BP3'!M18&gt;1,"s",)&amp;" (or "&amp;TEXT('BP3'!M18/'BP3'!G18,"0%")&amp;" cost-shared effort)","")</f>
        <v/>
      </c>
      <c r="Q10" s="224" t="str">
        <f>IF(AND('BP4'!M18&gt;0,'BP4'!$A$5&gt;0),TEXT('BP4'!M18,"0.00")&amp;" cost-shared month"&amp;IF('BP4'!M18&gt;1,"s",)&amp;" (or "&amp;TEXT('BP4'!M18/'BP4'!G18,"0%")&amp;" cost-shared effort)","")</f>
        <v/>
      </c>
      <c r="R10" s="224" t="str">
        <f>IF(AND('BP5'!M18&gt;0,'BP5'!$A$5&gt;0),TEXT('BP5'!M18,"0.00")&amp;" cost-shared month"&amp;IF('BP5'!M18&gt;1,"s",)&amp;" (or "&amp;TEXT('BP5'!M18/'BP5'!G18,"0%")&amp;" cost-shared effort)","")</f>
        <v/>
      </c>
      <c r="S10" s="210" t="str">
        <f>IF(AND('BP1'!$K$5=2,I10&lt;&gt;J10),"Note: Effort changes in the outyears!","")&amp;IF(AND('BP1'!$K$5=3,OR(I10&lt;&gt;J10,I10&lt;&gt;K10,J10&lt;&gt;K10)),"Note: Effort changes in the outyears!","")&amp;IF(AND('BP1'!$K$5=4,OR(I10&lt;&gt;J10,I10&lt;&gt;K10,I10&lt;&gt;L10,J10&lt;&gt;K10,J10&lt;&gt;L10,K10&lt;&gt;L10)),"Note: Effort changes in the outyears!","")&amp;IF(AND('BP1'!$K$5=5,OR(I10&lt;&gt;J10,I10&lt;&gt;K10,I10&lt;&gt;L10,I10&lt;&gt;M10,J10&lt;&gt;K10,J10&lt;&gt;L10,J10&lt;&gt;M10,K10&lt;&gt;L10,K10&lt;&gt;M10,L10&lt;&gt;M10)),"Note: Effort changes in the outyears!","")</f>
        <v/>
      </c>
      <c r="T10" s="210" t="str">
        <f>IF(AND('BP1'!$K$5=2,N10&lt;&gt;O10),"Note: Effort changes in the outyears!","")&amp;IF(AND('BP1'!$K$5=3,OR(N10&lt;&gt;O10,N10&lt;&gt;P10,O10&lt;&gt;P10)),"Note: Effort changes in the outyears!","")&amp;IF(AND('BP1'!$K$5=4,OR(N10&lt;&gt;O10,N10&lt;&gt;P10,N10&lt;&gt;Q10,O10&lt;&gt;P10,O10&lt;&gt;Q10,P10&lt;&gt;Q10)),"Note: Effort changes in the outyears!","")&amp;IF(AND('BP1'!$K$5=5,OR(N10&lt;&gt;O10,N10&lt;&gt;P10,N10&lt;&gt;Q10,N10&lt;&gt;R10,O10&lt;&gt;P10,O10&lt;&gt;Q10,O10&lt;&gt;R10,P10&lt;&gt;Q10,P10&lt;&gt;R10,Q10&lt;&gt;R10)),"Note: Effort changes in the outyears!","")</f>
        <v/>
      </c>
      <c r="U10" s="561" t="str">
        <f t="shared" si="0"/>
        <v>Blank</v>
      </c>
    </row>
    <row r="11" spans="1:28" ht="60" customHeight="1">
      <c r="A11" s="880" t="str">
        <f>IF('Cumulative Budget'!H19+'Cumulative Budget'!I19+'Cumulative Budget'!J19&gt;0,IF(S11="Note: Effort changes in the outyears!",IF(I11&lt;&gt;"",I11&amp;" in Budget Period 1","")&amp;IF(AND(I11&lt;&gt;"",J11&lt;&gt;""),"; ","")&amp;IF(J11&lt;&gt;"",J11&amp;" in Budget Period 2","")&amp;IF(AND(OR(I11&lt;&gt;"",J11&lt;&gt;""),K11&lt;&gt;""),"; ","")&amp;IF(K11&lt;&gt;"",K11&amp;" in Budget Period 3","")&amp;IF(AND(OR(I11&lt;&gt;"",J11&lt;&gt;"",K11&lt;&gt;""),L11&lt;&gt;""),"; ","")&amp;IF(L11&lt;&gt;"",L11&amp;" in Budget Period 4","")&amp;IF(AND(OR(I11&lt;&gt;"",J11&lt;&gt;"",K11&lt;&gt;"",L11&lt;&gt;""),M11&lt;&gt;""),"; ","")&amp;IF(M11&lt;&gt;"",M11&amp;" in Budget Period 5","")&amp;" of "&amp;'BP1'!B19&amp;"'s salary is requested. ",I11&amp;" of "&amp;'BP1'!B19&amp;"'s salary is requested"&amp;IF('BP1'!$K$5&gt;1," each budget period for "&amp;'BP1'!$K$5&amp;" budget periods. ",". ")),"")&amp;IF('Cumulative Budget'!M19&gt;0,IF(T11="Note: Effort changes in the outyears!",IF(N11&lt;&gt;"",N11&amp;" in Budget Period 1","")&amp;IF(AND(N11&lt;&gt;"",O11&lt;&gt;""),"; ","")&amp;IF(O11&lt;&gt;"",O11&amp;" in Budget Period 2","")&amp;IF(AND(OR(N11&lt;&gt;"",O11&lt;&gt;""),P11&lt;&gt;""),"; ","")&amp;IF(P11&lt;&gt;"",P11&amp;" in Budget Period 3","")&amp;IF(AND(OR(N11&lt;&gt;"",O11&lt;&gt;"",P11&lt;&gt;""),Q11&lt;&gt;""),"; ","")&amp;IF(Q11&lt;&gt;"",Q11&amp;" in Budget Period 4","")&amp;IF(AND(OR(N11&lt;&gt;"",O11&lt;&gt;"",P11&lt;&gt;"",Q11&lt;&gt;""),R11&lt;&gt;""),"; ","")&amp;IF(R11&lt;&gt;"",R11&amp;" in Budget Period 5","")&amp;" of "&amp;'BP1'!B19&amp;"'s salary is requested. ",N11&amp;" of "&amp;'BP1'!B19&amp;"'s salary is requested"&amp;IF('BP1'!$K$5&gt;1," each budget period for "&amp;'BP1'!$K$5&amp;" budget periods. ",". ")),"")&amp;IF(OR('BP1'!G19=10,'BP1'!G19=11),'BP1'!B19&amp;" currently has a"&amp;IF('BP1'!G19=11,"n "," ")&amp;'BP1'!G19&amp;"-month appointment. ","")&amp;IF(AND('BP1'!$K$5&gt;1,'BP1'!$K$7&gt;0,OR('Cumulative Budget'!H19+'Cumulative Budget'!I19+'Cumulative Budget'!J19+'Cumulative Budget'!M19&gt;0)),"Salary is inflated by "&amp;('BP1'!$K$7*100)&amp;"% annually each September. ","")&amp;IF(ISBLANK('BP1'!Q19),"",'BP1'!Q19)</f>
        <v/>
      </c>
      <c r="B11" s="880"/>
      <c r="C11" s="880"/>
      <c r="D11" s="880"/>
      <c r="E11" s="880"/>
      <c r="F11" s="880"/>
      <c r="G11" s="880"/>
      <c r="H11" s="880"/>
      <c r="I11" s="224" t="str">
        <f>IF(SUM('Cumulative Budget'!H19:J19)&gt;0,(IF('BP1'!$K$5&gt;0,((IF('BP1'!H19&gt;0,CONCATENATE(IF('BP1'!H19&gt;0,TEXT('BP1'!H19,"0.00")&amp;" calendar month"&amp;IF('BP1'!H19&gt;1,"s",)&amp;" (or "&amp;TEXT('BP1'!H19/'BP1'!G19,"0%")&amp;" calendar effort)",)),CONCATENATE(IF('BP1'!I19&gt;0,TEXT('BP1'!I19,"0.00")&amp;" academic month"&amp;IF('BP1'!I19&gt;1,"s",)&amp;" (or "&amp;TEXT('BP1'!I19/9,"0%")&amp;" academic effort)",),IF(AND('BP1'!I19&gt;0,'BP1'!J19&gt;0)," and ",),IF('BP1'!J19&gt;0,TEXT('BP1'!J19,"0.00")&amp;" summer month"&amp;IF('BP1'!J19&gt;1,"s",)&amp;" (or "&amp;TEXT('BP1'!J19/3,"0%")&amp;" summer effort)",))))),"")),"")</f>
        <v/>
      </c>
      <c r="J11" s="224" t="str">
        <f>IF(SUM('Cumulative Budget'!H19:J19)&gt;0,(IF('BP1'!$K$5&gt;1,((IF('BP2'!H19&gt;0,CONCATENATE(IF('BP2'!H19&gt;0,TEXT('BP2'!H19,"0.00")&amp;" calendar month"&amp;IF('BP2'!H19&gt;1,"s",)&amp;" (or "&amp;TEXT('BP2'!H19/'BP2'!G19,"0%")&amp;" calendar effort)",)),CONCATENATE(IF('BP2'!I19&gt;0,TEXT('BP2'!I19,"0.00")&amp;" academic month"&amp;IF('BP2'!I19&gt;1,"s",)&amp;" (or "&amp;TEXT('BP2'!I19/9,"0%")&amp;" academic effort)",),IF(AND('BP2'!I19&gt;0,'BP2'!J19&gt;0)," and ",),IF('BP2'!J19&gt;0,TEXT('BP2'!J19,"0.00")&amp;" summer month"&amp;IF('BP2'!J19&gt;1,"s",)&amp;" (or "&amp;TEXT('BP2'!J19/3,"0%")&amp;" summer effort)",))))),"")),"")</f>
        <v/>
      </c>
      <c r="K11" s="224" t="str">
        <f>IF(SUM('Cumulative Budget'!H19:J19)&gt;0,(IF('BP1'!$K$5&gt;2,((IF('BP3'!H19&gt;0,CONCATENATE(IF('BP3'!H19&gt;0,TEXT('BP3'!H19,"0.00")&amp;" calendar month"&amp;IF('BP3'!H19&gt;1,"s",)&amp;" (or "&amp;TEXT('BP3'!H19/'BP3'!G19,"0%")&amp;" calendar effort)",)),CONCATENATE(IF('BP3'!I19&gt;0,TEXT('BP3'!I19,"0.00")&amp;" academic month"&amp;IF('BP3'!I19&gt;1,"s",)&amp;" (or "&amp;TEXT('BP3'!I19/9,"0%")&amp;" academic effort)",),IF(AND('BP3'!I19&gt;0,'BP3'!J19&gt;0)," and ",),IF('BP3'!J19&gt;0,TEXT('BP3'!J19,"0.00")&amp;" summer month"&amp;IF('BP3'!J19&gt;1,"s",)&amp;" (or "&amp;TEXT('BP3'!J19/3,"0%")&amp;" summer effort)",))))),"")),"")</f>
        <v/>
      </c>
      <c r="L11" s="224" t="str">
        <f>IF(SUM('Cumulative Budget'!H19:J19)&gt;0,(IF('BP1'!$K$5&gt;3,((IF('BP4'!H19&gt;0,CONCATENATE(IF('BP4'!H19&gt;0,TEXT('BP4'!H19,"0.00")&amp;" calendar month"&amp;IF('BP4'!H19&gt;1,"s",)&amp;" (or "&amp;TEXT('BP4'!H19/'BP4'!G19,"0%")&amp;" calendar effort)",)),CONCATENATE(IF('BP4'!I19&gt;0,TEXT('BP4'!I19,"0.00")&amp;" academic month"&amp;IF('BP4'!I19&gt;1,"s",)&amp;" (or "&amp;TEXT('BP4'!I19/9,"0%")&amp;" academic effort)",),IF(AND('BP4'!I19&gt;0,'BP4'!J19&gt;0)," and ",),IF('BP4'!J19&gt;0,TEXT('BP4'!J19,"0.00")&amp;" summer month"&amp;IF('BP4'!J19&gt;1,"s",)&amp;" (or "&amp;TEXT('BP4'!J19/3,"0%")&amp;" summer effort)",))))),"")),"")</f>
        <v/>
      </c>
      <c r="M11" s="224" t="str">
        <f>IF(SUM('Cumulative Budget'!H19:J19)&gt;0,(IF('BP1'!$K$5&gt;4,((IF('BP5'!H19&gt;0,CONCATENATE(IF('BP5'!H19&gt;0,TEXT('BP5'!H19,"0.00")&amp;" calendar month"&amp;IF('BP5'!H19&gt;1,"s",)&amp;" (or "&amp;TEXT('BP5'!H19/'BP5'!G19,"0%")&amp;" calendar effort)",)),CONCATENATE(IF('BP5'!I19&gt;0,TEXT('BP5'!I19,"0.00")&amp;" academic month"&amp;IF('BP5'!I19&gt;1,"s",)&amp;" (or "&amp;TEXT('BP5'!I19/9,"0%")&amp;" academic effort)",),IF(AND('BP5'!I19&gt;0,'BP5'!J19&gt;0)," and ",),IF('BP5'!J19&gt;0,TEXT('BP5'!J19,"0.00")&amp;" summer month"&amp;IF('BP5'!J19&gt;1,"s",)&amp;" (or "&amp;TEXT('BP5'!J19/3,"0%")&amp;" summer effort)",))))),"")),"")</f>
        <v/>
      </c>
      <c r="N11" s="224" t="str">
        <f>IF(AND('BP1'!M19&gt;0,'BP1'!$A$5&gt;0),TEXT('BP1'!M19,"0.00")&amp;" cost-shared month"&amp;IF('BP1'!M19&gt;1,"s",)&amp;" (or "&amp;TEXT('BP1'!M19/'BP1'!G19,"0%")&amp;" cost-shared effort)","")</f>
        <v/>
      </c>
      <c r="O11" s="224" t="str">
        <f>IF(AND('BP2'!M19&gt;0,'BP2'!$A$5&gt;0),TEXT('BP2'!M19,"0.00")&amp;" cost-shared month"&amp;IF('BP2'!M19&gt;1,"s",)&amp;" (or "&amp;TEXT('BP2'!M19/'BP2'!G19,"0%")&amp;" cost-shared effort)","")</f>
        <v/>
      </c>
      <c r="P11" s="224" t="str">
        <f>IF(AND('BP3'!M19&gt;0,'BP3'!$A$5&gt;0),TEXT('BP3'!M19,"0.00")&amp;" cost-shared month"&amp;IF('BP3'!M19&gt;1,"s",)&amp;" (or "&amp;TEXT('BP3'!M19/'BP3'!G19,"0%")&amp;" cost-shared effort)","")</f>
        <v/>
      </c>
      <c r="Q11" s="224" t="str">
        <f>IF(AND('BP4'!M19&gt;0,'BP4'!$A$5&gt;0),TEXT('BP4'!M19,"0.00")&amp;" cost-shared month"&amp;IF('BP4'!M19&gt;1,"s",)&amp;" (or "&amp;TEXT('BP4'!M19/'BP4'!G19,"0%")&amp;" cost-shared effort)","")</f>
        <v/>
      </c>
      <c r="R11" s="224" t="str">
        <f>IF(AND('BP5'!M19&gt;0,'BP5'!$A$5&gt;0),TEXT('BP5'!M19,"0.00")&amp;" cost-shared month"&amp;IF('BP5'!M19&gt;1,"s",)&amp;" (or "&amp;TEXT('BP5'!M19/'BP5'!G19,"0%")&amp;" cost-shared effort)","")</f>
        <v/>
      </c>
      <c r="S11" s="210" t="str">
        <f>IF(AND('BP1'!$K$5=2,I11&lt;&gt;J11),"Note: Effort changes in the outyears!","")&amp;IF(AND('BP1'!$K$5=3,OR(I11&lt;&gt;J11,I11&lt;&gt;K11,J11&lt;&gt;K11)),"Note: Effort changes in the outyears!","")&amp;IF(AND('BP1'!$K$5=4,OR(I11&lt;&gt;J11,I11&lt;&gt;K11,I11&lt;&gt;L11,J11&lt;&gt;K11,J11&lt;&gt;L11,K11&lt;&gt;L11)),"Note: Effort changes in the outyears!","")&amp;IF(AND('BP1'!$K$5=5,OR(I11&lt;&gt;J11,I11&lt;&gt;K11,I11&lt;&gt;L11,I11&lt;&gt;M11,J11&lt;&gt;K11,J11&lt;&gt;L11,J11&lt;&gt;M11,K11&lt;&gt;L11,K11&lt;&gt;M11,L11&lt;&gt;M11)),"Note: Effort changes in the outyears!","")</f>
        <v/>
      </c>
      <c r="T11" s="210" t="str">
        <f>IF(AND('BP1'!$K$5=2,N11&lt;&gt;O11),"Note: Effort changes in the outyears!","")&amp;IF(AND('BP1'!$K$5=3,OR(N11&lt;&gt;O11,N11&lt;&gt;P11,O11&lt;&gt;P11)),"Note: Effort changes in the outyears!","")&amp;IF(AND('BP1'!$K$5=4,OR(N11&lt;&gt;O11,N11&lt;&gt;P11,N11&lt;&gt;Q11,O11&lt;&gt;P11,O11&lt;&gt;Q11,P11&lt;&gt;Q11)),"Note: Effort changes in the outyears!","")&amp;IF(AND('BP1'!$K$5=5,OR(N11&lt;&gt;O11,N11&lt;&gt;P11,N11&lt;&gt;Q11,N11&lt;&gt;R11,O11&lt;&gt;P11,O11&lt;&gt;Q11,O11&lt;&gt;R11,P11&lt;&gt;Q11,P11&lt;&gt;R11,Q11&lt;&gt;R11)),"Note: Effort changes in the outyears!","")</f>
        <v/>
      </c>
      <c r="U11" s="561" t="str">
        <f t="shared" si="0"/>
        <v>Blank</v>
      </c>
    </row>
    <row r="12" spans="1:28" ht="60" customHeight="1">
      <c r="A12" s="880" t="str">
        <f>IF('Cumulative Budget'!H20+'Cumulative Budget'!I20+'Cumulative Budget'!J20&gt;0,IF(S12="Note: Effort changes in the outyears!",IF(I12&lt;&gt;"",I12&amp;" in Budget Period 1","")&amp;IF(AND(I12&lt;&gt;"",J12&lt;&gt;""),"; ","")&amp;IF(J12&lt;&gt;"",J12&amp;" in Budget Period 2","")&amp;IF(AND(OR(I12&lt;&gt;"",J12&lt;&gt;""),K12&lt;&gt;""),"; ","")&amp;IF(K12&lt;&gt;"",K12&amp;" in Budget Period 3","")&amp;IF(AND(OR(I12&lt;&gt;"",J12&lt;&gt;"",K12&lt;&gt;""),L12&lt;&gt;""),"; ","")&amp;IF(L12&lt;&gt;"",L12&amp;" in Budget Period 4","")&amp;IF(AND(OR(I12&lt;&gt;"",J12&lt;&gt;"",K12&lt;&gt;"",L12&lt;&gt;""),M12&lt;&gt;""),"; ","")&amp;IF(M12&lt;&gt;"",M12&amp;" in Budget Period 5","")&amp;" of "&amp;'BP1'!B20&amp;"'s salary is requested. ",I12&amp;" of "&amp;'BP1'!B20&amp;"'s salary is requested"&amp;IF('BP1'!$K$5&gt;1," each budget period for "&amp;'BP1'!$K$5&amp;" budget periods. ",". ")),"")&amp;IF('Cumulative Budget'!M20&gt;0,IF(T12="Note: Effort changes in the outyears!",IF(N12&lt;&gt;"",N12&amp;" in Budget Period 1","")&amp;IF(AND(N12&lt;&gt;"",O12&lt;&gt;""),"; ","")&amp;IF(O12&lt;&gt;"",O12&amp;" in Budget Period 2","")&amp;IF(AND(OR(N12&lt;&gt;"",O12&lt;&gt;""),P12&lt;&gt;""),"; ","")&amp;IF(P12&lt;&gt;"",P12&amp;" in Budget Period 3","")&amp;IF(AND(OR(N12&lt;&gt;"",O12&lt;&gt;"",P12&lt;&gt;""),Q12&lt;&gt;""),"; ","")&amp;IF(Q12&lt;&gt;"",Q12&amp;" in Budget Period 4","")&amp;IF(AND(OR(N12&lt;&gt;"",O12&lt;&gt;"",P12&lt;&gt;"",Q12&lt;&gt;""),R12&lt;&gt;""),"; ","")&amp;IF(R12&lt;&gt;"",R12&amp;" in Budget Period 5","")&amp;" of "&amp;'BP1'!B20&amp;"'s salary is requested. ",N12&amp;" of "&amp;'BP1'!B20&amp;"'s salary is requested"&amp;IF('BP1'!$K$5&gt;1," each budget period for "&amp;'BP1'!$K$5&amp;" budget periods. ",". ")),"")&amp;IF(OR('BP1'!G20=10,'BP1'!G20=11),'BP1'!B20&amp;" currently has a"&amp;IF('BP1'!G20=11,"n "," ")&amp;'BP1'!G20&amp;"-month appointment. ","")&amp;IF(AND('BP1'!$K$5&gt;1,'BP1'!$K$7&gt;0,OR('Cumulative Budget'!H20+'Cumulative Budget'!I20+'Cumulative Budget'!J20+'Cumulative Budget'!M20&gt;0)),"Salary is inflated by "&amp;('BP1'!$K$7*100)&amp;"% annually each September. ","")&amp;IF(ISBLANK('BP1'!Q20),"",'BP1'!Q20)</f>
        <v/>
      </c>
      <c r="B12" s="880"/>
      <c r="C12" s="880"/>
      <c r="D12" s="880"/>
      <c r="E12" s="880"/>
      <c r="F12" s="880"/>
      <c r="G12" s="880"/>
      <c r="H12" s="880"/>
      <c r="I12" s="224" t="str">
        <f>IF(SUM('Cumulative Budget'!H20:J20)&gt;0,(IF('BP1'!$K$5&gt;0,((IF('BP1'!H20&gt;0,CONCATENATE(IF('BP1'!H20&gt;0,TEXT('BP1'!H20,"0.00")&amp;" calendar month"&amp;IF('BP1'!H20&gt;1,"s",)&amp;" (or "&amp;TEXT('BP1'!H20/'BP1'!G20,"0%")&amp;" calendar effort)",)),CONCATENATE(IF('BP1'!I20&gt;0,TEXT('BP1'!I20,"0.00")&amp;" academic month"&amp;IF('BP1'!I20&gt;1,"s",)&amp;" (or "&amp;TEXT('BP1'!I20/9,"0%")&amp;" academic effort)",),IF(AND('BP1'!I20&gt;0,'BP1'!J20&gt;0)," and ",),IF('BP1'!J20&gt;0,TEXT('BP1'!J20,"0.00")&amp;" summer month"&amp;IF('BP1'!J20&gt;1,"s",)&amp;" (or "&amp;TEXT('BP1'!J20/3,"0%")&amp;" summer effort)",))))),"")),"")</f>
        <v/>
      </c>
      <c r="J12" s="224" t="str">
        <f>IF(SUM('Cumulative Budget'!H20:J20)&gt;0,(IF('BP1'!$K$5&gt;1,((IF('BP2'!H20&gt;0,CONCATENATE(IF('BP2'!H20&gt;0,TEXT('BP2'!H20,"0.00")&amp;" calendar month"&amp;IF('BP2'!H20&gt;1,"s",)&amp;" (or "&amp;TEXT('BP2'!H20/'BP2'!G20,"0%")&amp;" calendar effort)",)),CONCATENATE(IF('BP2'!I20&gt;0,TEXT('BP2'!I20,"0.00")&amp;" academic month"&amp;IF('BP2'!I20&gt;1,"s",)&amp;" (or "&amp;TEXT('BP2'!I20/9,"0%")&amp;" academic effort)",),IF(AND('BP2'!I20&gt;0,'BP2'!J20&gt;0)," and ",),IF('BP2'!J20&gt;0,TEXT('BP2'!J20,"0.00")&amp;" summer month"&amp;IF('BP2'!J20&gt;1,"s",)&amp;" (or "&amp;TEXT('BP2'!J20/3,"0%")&amp;" summer effort)",))))),"")),"")</f>
        <v/>
      </c>
      <c r="K12" s="224" t="str">
        <f>IF(SUM('Cumulative Budget'!H20:J20)&gt;0,(IF('BP1'!$K$5&gt;2,((IF('BP3'!H20&gt;0,CONCATENATE(IF('BP3'!H20&gt;0,TEXT('BP3'!H20,"0.00")&amp;" calendar month"&amp;IF('BP3'!H20&gt;1,"s",)&amp;" (or "&amp;TEXT('BP3'!H20/'BP3'!G20,"0%")&amp;" calendar effort)",)),CONCATENATE(IF('BP3'!I20&gt;0,TEXT('BP3'!I20,"0.00")&amp;" academic month"&amp;IF('BP3'!I20&gt;1,"s",)&amp;" (or "&amp;TEXT('BP3'!I20/9,"0%")&amp;" academic effort)",),IF(AND('BP3'!I20&gt;0,'BP3'!J20&gt;0)," and ",),IF('BP3'!J20&gt;0,TEXT('BP3'!J20,"0.00")&amp;" summer month"&amp;IF('BP3'!J20&gt;1,"s",)&amp;" (or "&amp;TEXT('BP3'!J20/3,"0%")&amp;" summer effort)",))))),"")),"")</f>
        <v/>
      </c>
      <c r="L12" s="224" t="str">
        <f>IF(SUM('Cumulative Budget'!H20:J20)&gt;0,(IF('BP1'!$K$5&gt;3,((IF('BP4'!H20&gt;0,CONCATENATE(IF('BP4'!H20&gt;0,TEXT('BP4'!H20,"0.00")&amp;" calendar month"&amp;IF('BP4'!H20&gt;1,"s",)&amp;" (or "&amp;TEXT('BP4'!H20/'BP4'!G20,"0%")&amp;" calendar effort)",)),CONCATENATE(IF('BP4'!I20&gt;0,TEXT('BP4'!I20,"0.00")&amp;" academic month"&amp;IF('BP4'!I20&gt;1,"s",)&amp;" (or "&amp;TEXT('BP4'!I20/9,"0%")&amp;" academic effort)",),IF(AND('BP4'!I20&gt;0,'BP4'!J20&gt;0)," and ",),IF('BP4'!J20&gt;0,TEXT('BP4'!J20,"0.00")&amp;" summer month"&amp;IF('BP4'!J20&gt;1,"s",)&amp;" (or "&amp;TEXT('BP4'!J20/3,"0%")&amp;" summer effort)",))))),"")),"")</f>
        <v/>
      </c>
      <c r="M12" s="224" t="str">
        <f>IF(SUM('Cumulative Budget'!H20:J20)&gt;0,(IF('BP1'!$K$5&gt;4,((IF('BP5'!H20&gt;0,CONCATENATE(IF('BP5'!H20&gt;0,TEXT('BP5'!H20,"0.00")&amp;" calendar month"&amp;IF('BP5'!H20&gt;1,"s",)&amp;" (or "&amp;TEXT('BP5'!H20/'BP5'!G20,"0%")&amp;" calendar effort)",)),CONCATENATE(IF('BP5'!I20&gt;0,TEXT('BP5'!I20,"0.00")&amp;" academic month"&amp;IF('BP5'!I20&gt;1,"s",)&amp;" (or "&amp;TEXT('BP5'!I20/9,"0%")&amp;" academic effort)",),IF(AND('BP5'!I20&gt;0,'BP5'!J20&gt;0)," and ",),IF('BP5'!J20&gt;0,TEXT('BP5'!J20,"0.00")&amp;" summer month"&amp;IF('BP5'!J20&gt;1,"s",)&amp;" (or "&amp;TEXT('BP5'!J20/3,"0%")&amp;" summer effort)",))))),"")),"")</f>
        <v/>
      </c>
      <c r="N12" s="224" t="str">
        <f>IF(AND('BP1'!M20&gt;0,'BP1'!$A$5&gt;0),TEXT('BP1'!M20,"0.00")&amp;" cost-shared month"&amp;IF('BP1'!M20&gt;1,"s",)&amp;" (or "&amp;TEXT('BP1'!M20/'BP1'!G20,"0%")&amp;" cost-shared effort)","")</f>
        <v/>
      </c>
      <c r="O12" s="224" t="str">
        <f>IF(AND('BP2'!M20&gt;0,'BP2'!$A$5&gt;0),TEXT('BP2'!M20,"0.00")&amp;" cost-shared month"&amp;IF('BP2'!M20&gt;1,"s",)&amp;" (or "&amp;TEXT('BP2'!M20/'BP2'!G20,"0%")&amp;" cost-shared effort)","")</f>
        <v/>
      </c>
      <c r="P12" s="224" t="str">
        <f>IF(AND('BP3'!M20&gt;0,'BP3'!$A$5&gt;0),TEXT('BP3'!M20,"0.00")&amp;" cost-shared month"&amp;IF('BP3'!M20&gt;1,"s",)&amp;" (or "&amp;TEXT('BP3'!M20/'BP3'!G20,"0%")&amp;" cost-shared effort)","")</f>
        <v/>
      </c>
      <c r="Q12" s="224" t="str">
        <f>IF(AND('BP4'!M20&gt;0,'BP4'!$A$5&gt;0),TEXT('BP4'!M20,"0.00")&amp;" cost-shared month"&amp;IF('BP4'!M20&gt;1,"s",)&amp;" (or "&amp;TEXT('BP4'!M20/'BP4'!G20,"0%")&amp;" cost-shared effort)","")</f>
        <v/>
      </c>
      <c r="R12" s="224" t="str">
        <f>IF(AND('BP5'!M20&gt;0,'BP5'!$A$5&gt;0),TEXT('BP5'!M20,"0.00")&amp;" cost-shared month"&amp;IF('BP5'!M20&gt;1,"s",)&amp;" (or "&amp;TEXT('BP5'!M20/'BP5'!G20,"0%")&amp;" cost-shared effort)","")</f>
        <v/>
      </c>
      <c r="S12" s="210" t="str">
        <f>IF(AND('BP1'!$K$5=2,I12&lt;&gt;J12),"Note: Effort changes in the outyears!","")&amp;IF(AND('BP1'!$K$5=3,OR(I12&lt;&gt;J12,I12&lt;&gt;K12,J12&lt;&gt;K12)),"Note: Effort changes in the outyears!","")&amp;IF(AND('BP1'!$K$5=4,OR(I12&lt;&gt;J12,I12&lt;&gt;K12,I12&lt;&gt;L12,J12&lt;&gt;K12,J12&lt;&gt;L12,K12&lt;&gt;L12)),"Note: Effort changes in the outyears!","")&amp;IF(AND('BP1'!$K$5=5,OR(I12&lt;&gt;J12,I12&lt;&gt;K12,I12&lt;&gt;L12,I12&lt;&gt;M12,J12&lt;&gt;K12,J12&lt;&gt;L12,J12&lt;&gt;M12,K12&lt;&gt;L12,K12&lt;&gt;M12,L12&lt;&gt;M12)),"Note: Effort changes in the outyears!","")</f>
        <v/>
      </c>
      <c r="T12" s="210" t="str">
        <f>IF(AND('BP1'!$K$5=2,N12&lt;&gt;O12),"Note: Effort changes in the outyears!","")&amp;IF(AND('BP1'!$K$5=3,OR(N12&lt;&gt;O12,N12&lt;&gt;P12,O12&lt;&gt;P12)),"Note: Effort changes in the outyears!","")&amp;IF(AND('BP1'!$K$5=4,OR(N12&lt;&gt;O12,N12&lt;&gt;P12,N12&lt;&gt;Q12,O12&lt;&gt;P12,O12&lt;&gt;Q12,P12&lt;&gt;Q12)),"Note: Effort changes in the outyears!","")&amp;IF(AND('BP1'!$K$5=5,OR(N12&lt;&gt;O12,N12&lt;&gt;P12,N12&lt;&gt;Q12,N12&lt;&gt;R12,O12&lt;&gt;P12,O12&lt;&gt;Q12,O12&lt;&gt;R12,P12&lt;&gt;Q12,P12&lt;&gt;R12,Q12&lt;&gt;R12)),"Note: Effort changes in the outyears!","")</f>
        <v/>
      </c>
      <c r="U12" s="561" t="str">
        <f t="shared" si="0"/>
        <v>Blank</v>
      </c>
    </row>
    <row r="13" spans="1:28" ht="60" customHeight="1">
      <c r="A13" s="880" t="str">
        <f>IF('Cumulative Budget'!H21+'Cumulative Budget'!I21+'Cumulative Budget'!J21&gt;0,IF(S13="Note: Effort changes in the outyears!",IF(I13&lt;&gt;"",I13&amp;" in Budget Period 1","")&amp;IF(AND(I13&lt;&gt;"",J13&lt;&gt;""),"; ","")&amp;IF(J13&lt;&gt;"",J13&amp;" in Budget Period 2","")&amp;IF(AND(OR(I13&lt;&gt;"",J13&lt;&gt;""),K13&lt;&gt;""),"; ","")&amp;IF(K13&lt;&gt;"",K13&amp;" in Budget Period 3","")&amp;IF(AND(OR(I13&lt;&gt;"",J13&lt;&gt;"",K13&lt;&gt;""),L13&lt;&gt;""),"; ","")&amp;IF(L13&lt;&gt;"",L13&amp;" in Budget Period 4","")&amp;IF(AND(OR(I13&lt;&gt;"",J13&lt;&gt;"",K13&lt;&gt;"",L13&lt;&gt;""),M13&lt;&gt;""),"; ","")&amp;IF(M13&lt;&gt;"",M13&amp;" in Budget Period 5","")&amp;" of "&amp;'BP1'!B21&amp;"'s salary is requested. ",I13&amp;" of "&amp;'BP1'!B21&amp;"'s salary is requested"&amp;IF('BP1'!$K$5&gt;1," each budget period for "&amp;'BP1'!$K$5&amp;" budget periods. ",". ")),"")&amp;IF('Cumulative Budget'!M21&gt;0,IF(T13="Note: Effort changes in the outyears!",IF(N13&lt;&gt;"",N13&amp;" in Budget Period 1","")&amp;IF(AND(N13&lt;&gt;"",O13&lt;&gt;""),"; ","")&amp;IF(O13&lt;&gt;"",O13&amp;" in Budget Period 2","")&amp;IF(AND(OR(N13&lt;&gt;"",O13&lt;&gt;""),P13&lt;&gt;""),"; ","")&amp;IF(P13&lt;&gt;"",P13&amp;" in Budget Period 3","")&amp;IF(AND(OR(N13&lt;&gt;"",O13&lt;&gt;"",P13&lt;&gt;""),Q13&lt;&gt;""),"; ","")&amp;IF(Q13&lt;&gt;"",Q13&amp;" in Budget Period 4","")&amp;IF(AND(OR(N13&lt;&gt;"",O13&lt;&gt;"",P13&lt;&gt;"",Q13&lt;&gt;""),R13&lt;&gt;""),"; ","")&amp;IF(R13&lt;&gt;"",R13&amp;" in Budget Period 5","")&amp;" of "&amp;'BP1'!B21&amp;"'s salary is requested. ",N13&amp;" of "&amp;'BP1'!B21&amp;"'s salary is requested"&amp;IF('BP1'!$K$5&gt;1," each budget period for "&amp;'BP1'!$K$5&amp;" budget periods. ",". ")),"")&amp;IF(OR('BP1'!G21=10,'BP1'!G21=11),'BP1'!B21&amp;" currently has a"&amp;IF('BP1'!G21=11,"n "," ")&amp;'BP1'!G21&amp;"-month appointment. ","")&amp;IF(AND('BP1'!$K$5&gt;1,'BP1'!$K$7&gt;0,OR('Cumulative Budget'!H21+'Cumulative Budget'!I21+'Cumulative Budget'!J21+'Cumulative Budget'!M21&gt;0)),"Salary is inflated by "&amp;('BP1'!$K$7*100)&amp;"% annually each September. ","")&amp;IF(ISBLANK('BP1'!Q21),"",'BP1'!Q21)</f>
        <v/>
      </c>
      <c r="B13" s="880"/>
      <c r="C13" s="880"/>
      <c r="D13" s="880"/>
      <c r="E13" s="880"/>
      <c r="F13" s="880"/>
      <c r="G13" s="880"/>
      <c r="H13" s="880"/>
      <c r="I13" s="224" t="str">
        <f>IF(SUM('Cumulative Budget'!H21:J21)&gt;0,(IF('BP1'!$K$5&gt;0,((IF('BP1'!H21&gt;0,CONCATENATE(IF('BP1'!H21&gt;0,TEXT('BP1'!H21,"0.00")&amp;" calendar month"&amp;IF('BP1'!H21&gt;1,"s",)&amp;" (or "&amp;TEXT('BP1'!H21/'BP1'!G21,"0%")&amp;" calendar effort)",)),CONCATENATE(IF('BP1'!I21&gt;0,TEXT('BP1'!I21,"0.00")&amp;" academic month"&amp;IF('BP1'!I21&gt;1,"s",)&amp;" (or "&amp;TEXT('BP1'!I21/9,"0%")&amp;" academic effort)",),IF(AND('BP1'!I21&gt;0,'BP1'!J21&gt;0)," and ",),IF('BP1'!J21&gt;0,TEXT('BP1'!J21,"0.00")&amp;" summer month"&amp;IF('BP1'!J21&gt;1,"s",)&amp;" (or "&amp;TEXT('BP1'!J21/3,"0%")&amp;" summer effort)",))))),"")),"")</f>
        <v/>
      </c>
      <c r="J13" s="224" t="str">
        <f>IF(SUM('Cumulative Budget'!H21:J21)&gt;0,(IF('BP1'!$K$5&gt;1,((IF('BP2'!H21&gt;0,CONCATENATE(IF('BP2'!H21&gt;0,TEXT('BP2'!H21,"0.00")&amp;" calendar month"&amp;IF('BP2'!H21&gt;1,"s",)&amp;" (or "&amp;TEXT('BP2'!H21/'BP2'!G21,"0%")&amp;" calendar effort)",)),CONCATENATE(IF('BP2'!I21&gt;0,TEXT('BP2'!I21,"0.00")&amp;" academic month"&amp;IF('BP2'!I21&gt;1,"s",)&amp;" (or "&amp;TEXT('BP2'!I21/9,"0%")&amp;" academic effort)",),IF(AND('BP2'!I21&gt;0,'BP2'!J21&gt;0)," and ",),IF('BP2'!J21&gt;0,TEXT('BP2'!J21,"0.00")&amp;" summer month"&amp;IF('BP2'!J21&gt;1,"s",)&amp;" (or "&amp;TEXT('BP2'!J21/3,"0%")&amp;" summer effort)",))))),"")),"")</f>
        <v/>
      </c>
      <c r="K13" s="224" t="str">
        <f>IF(SUM('Cumulative Budget'!H21:J21)&gt;0,(IF('BP1'!$K$5&gt;2,((IF('BP3'!H21&gt;0,CONCATENATE(IF('BP3'!H21&gt;0,TEXT('BP3'!H21,"0.00")&amp;" calendar month"&amp;IF('BP3'!H21&gt;1,"s",)&amp;" (or "&amp;TEXT('BP3'!H21/'BP3'!G21,"0%")&amp;" calendar effort)",)),CONCATENATE(IF('BP3'!I21&gt;0,TEXT('BP3'!I21,"0.00")&amp;" academic month"&amp;IF('BP3'!I21&gt;1,"s",)&amp;" (or "&amp;TEXT('BP3'!I21/9,"0%")&amp;" academic effort)",),IF(AND('BP3'!I21&gt;0,'BP3'!J21&gt;0)," and ",),IF('BP3'!J21&gt;0,TEXT('BP3'!J21,"0.00")&amp;" summer month"&amp;IF('BP3'!J21&gt;1,"s",)&amp;" (or "&amp;TEXT('BP3'!J21/3,"0%")&amp;" summer effort)",))))),"")),"")</f>
        <v/>
      </c>
      <c r="L13" s="224" t="str">
        <f>IF(SUM('Cumulative Budget'!H21:J21)&gt;0,(IF('BP1'!$K$5&gt;3,((IF('BP4'!H21&gt;0,CONCATENATE(IF('BP4'!H21&gt;0,TEXT('BP4'!H21,"0.00")&amp;" calendar month"&amp;IF('BP4'!H21&gt;1,"s",)&amp;" (or "&amp;TEXT('BP4'!H21/'BP4'!G21,"0%")&amp;" calendar effort)",)),CONCATENATE(IF('BP4'!I21&gt;0,TEXT('BP4'!I21,"0.00")&amp;" academic month"&amp;IF('BP4'!I21&gt;1,"s",)&amp;" (or "&amp;TEXT('BP4'!I21/9,"0%")&amp;" academic effort)",),IF(AND('BP4'!I21&gt;0,'BP4'!J21&gt;0)," and ",),IF('BP4'!J21&gt;0,TEXT('BP4'!J21,"0.00")&amp;" summer month"&amp;IF('BP4'!J21&gt;1,"s",)&amp;" (or "&amp;TEXT('BP4'!J21/3,"0%")&amp;" summer effort)",))))),"")),"")</f>
        <v/>
      </c>
      <c r="M13" s="224" t="str">
        <f>IF(SUM('Cumulative Budget'!H21:J21)&gt;0,(IF('BP1'!$K$5&gt;4,((IF('BP5'!H21&gt;0,CONCATENATE(IF('BP5'!H21&gt;0,TEXT('BP5'!H21,"0.00")&amp;" calendar month"&amp;IF('BP5'!H21&gt;1,"s",)&amp;" (or "&amp;TEXT('BP5'!H21/'BP5'!G21,"0%")&amp;" calendar effort)",)),CONCATENATE(IF('BP5'!I21&gt;0,TEXT('BP5'!I21,"0.00")&amp;" academic month"&amp;IF('BP5'!I21&gt;1,"s",)&amp;" (or "&amp;TEXT('BP5'!I21/9,"0%")&amp;" academic effort)",),IF(AND('BP5'!I21&gt;0,'BP5'!J21&gt;0)," and ",),IF('BP5'!J21&gt;0,TEXT('BP5'!J21,"0.00")&amp;" summer month"&amp;IF('BP5'!J21&gt;1,"s",)&amp;" (or "&amp;TEXT('BP5'!J21/3,"0%")&amp;" summer effort)",))))),"")),"")</f>
        <v/>
      </c>
      <c r="N13" s="224" t="str">
        <f>IF(AND('BP1'!M21&gt;0,'BP1'!$A$5&gt;0),TEXT('BP1'!M21,"0.00")&amp;" cost-shared month"&amp;IF('BP1'!M21&gt;1,"s",)&amp;" (or "&amp;TEXT('BP1'!M21/'BP1'!G21,"0%")&amp;" cost-shared effort)","")</f>
        <v/>
      </c>
      <c r="O13" s="224" t="str">
        <f>IF(AND('BP2'!M21&gt;0,'BP2'!$A$5&gt;0),TEXT('BP2'!M21,"0.00")&amp;" cost-shared month"&amp;IF('BP2'!M21&gt;1,"s",)&amp;" (or "&amp;TEXT('BP2'!M21/'BP2'!G21,"0%")&amp;" cost-shared effort)","")</f>
        <v/>
      </c>
      <c r="P13" s="224" t="str">
        <f>IF(AND('BP3'!M21&gt;0,'BP3'!$A$5&gt;0),TEXT('BP3'!M21,"0.00")&amp;" cost-shared month"&amp;IF('BP3'!M21&gt;1,"s",)&amp;" (or "&amp;TEXT('BP3'!M21/'BP3'!G21,"0%")&amp;" cost-shared effort)","")</f>
        <v/>
      </c>
      <c r="Q13" s="224" t="str">
        <f>IF(AND('BP4'!M21&gt;0,'BP4'!$A$5&gt;0),TEXT('BP4'!M21,"0.00")&amp;" cost-shared month"&amp;IF('BP4'!M21&gt;1,"s",)&amp;" (or "&amp;TEXT('BP4'!M21/'BP4'!G21,"0%")&amp;" cost-shared effort)","")</f>
        <v/>
      </c>
      <c r="R13" s="224" t="str">
        <f>IF(AND('BP5'!M21&gt;0,'BP5'!$A$5&gt;0),TEXT('BP5'!M21,"0.00")&amp;" cost-shared month"&amp;IF('BP5'!M21&gt;1,"s",)&amp;" (or "&amp;TEXT('BP5'!M21/'BP5'!G21,"0%")&amp;" cost-shared effort)","")</f>
        <v/>
      </c>
      <c r="S13" s="210" t="str">
        <f>IF(AND('BP1'!$K$5=2,I13&lt;&gt;J13),"Note: Effort changes in the outyears!","")&amp;IF(AND('BP1'!$K$5=3,OR(I13&lt;&gt;J13,I13&lt;&gt;K13,J13&lt;&gt;K13)),"Note: Effort changes in the outyears!","")&amp;IF(AND('BP1'!$K$5=4,OR(I13&lt;&gt;J13,I13&lt;&gt;K13,I13&lt;&gt;L13,J13&lt;&gt;K13,J13&lt;&gt;L13,K13&lt;&gt;L13)),"Note: Effort changes in the outyears!","")&amp;IF(AND('BP1'!$K$5=5,OR(I13&lt;&gt;J13,I13&lt;&gt;K13,I13&lt;&gt;L13,I13&lt;&gt;M13,J13&lt;&gt;K13,J13&lt;&gt;L13,J13&lt;&gt;M13,K13&lt;&gt;L13,K13&lt;&gt;M13,L13&lt;&gt;M13)),"Note: Effort changes in the outyears!","")</f>
        <v/>
      </c>
      <c r="T13" s="210" t="str">
        <f>IF(AND('BP1'!$K$5=2,N13&lt;&gt;O13),"Note: Effort changes in the outyears!","")&amp;IF(AND('BP1'!$K$5=3,OR(N13&lt;&gt;O13,N13&lt;&gt;P13,O13&lt;&gt;P13)),"Note: Effort changes in the outyears!","")&amp;IF(AND('BP1'!$K$5=4,OR(N13&lt;&gt;O13,N13&lt;&gt;P13,N13&lt;&gt;Q13,O13&lt;&gt;P13,O13&lt;&gt;Q13,P13&lt;&gt;Q13)),"Note: Effort changes in the outyears!","")&amp;IF(AND('BP1'!$K$5=5,OR(N13&lt;&gt;O13,N13&lt;&gt;P13,N13&lt;&gt;Q13,N13&lt;&gt;R13,O13&lt;&gt;P13,O13&lt;&gt;Q13,O13&lt;&gt;R13,P13&lt;&gt;Q13,P13&lt;&gt;R13,Q13&lt;&gt;R13)),"Note: Effort changes in the outyears!","")</f>
        <v/>
      </c>
      <c r="U13" s="561" t="str">
        <f t="shared" si="0"/>
        <v>Blank</v>
      </c>
    </row>
    <row r="14" spans="1:28" ht="60" customHeight="1">
      <c r="A14" s="880" t="str">
        <f>IF('Cumulative Budget'!H22+'Cumulative Budget'!I22+'Cumulative Budget'!J22&gt;0,IF(S14="Note: Effort changes in the outyears!",IF(I14&lt;&gt;"",I14&amp;" in Budget Period 1","")&amp;IF(AND(I14&lt;&gt;"",J14&lt;&gt;""),"; ","")&amp;IF(J14&lt;&gt;"",J14&amp;" in Budget Period 2","")&amp;IF(AND(OR(I14&lt;&gt;"",J14&lt;&gt;""),K14&lt;&gt;""),"; ","")&amp;IF(K14&lt;&gt;"",K14&amp;" in Budget Period 3","")&amp;IF(AND(OR(I14&lt;&gt;"",J14&lt;&gt;"",K14&lt;&gt;""),L14&lt;&gt;""),"; ","")&amp;IF(L14&lt;&gt;"",L14&amp;" in Budget Period 4","")&amp;IF(AND(OR(I14&lt;&gt;"",J14&lt;&gt;"",K14&lt;&gt;"",L14&lt;&gt;""),M14&lt;&gt;""),"; ","")&amp;IF(M14&lt;&gt;"",M14&amp;" in Budget Period 5","")&amp;" of "&amp;'BP1'!B22&amp;"'s salary is requested. ",I14&amp;" of "&amp;'BP1'!B22&amp;"'s salary is requested"&amp;IF('BP1'!$K$5&gt;1," each budget period for "&amp;'BP1'!$K$5&amp;" budget periods. ",". ")),"")&amp;IF('Cumulative Budget'!M22&gt;0,IF(T14="Note: Effort changes in the outyears!",IF(N14&lt;&gt;"",N14&amp;" in Budget Period 1","")&amp;IF(AND(N14&lt;&gt;"",O14&lt;&gt;""),"; ","")&amp;IF(O14&lt;&gt;"",O14&amp;" in Budget Period 2","")&amp;IF(AND(OR(N14&lt;&gt;"",O14&lt;&gt;""),P14&lt;&gt;""),"; ","")&amp;IF(P14&lt;&gt;"",P14&amp;" in Budget Period 3","")&amp;IF(AND(OR(N14&lt;&gt;"",O14&lt;&gt;"",P14&lt;&gt;""),Q14&lt;&gt;""),"; ","")&amp;IF(Q14&lt;&gt;"",Q14&amp;" in Budget Period 4","")&amp;IF(AND(OR(N14&lt;&gt;"",O14&lt;&gt;"",P14&lt;&gt;"",Q14&lt;&gt;""),R14&lt;&gt;""),"; ","")&amp;IF(R14&lt;&gt;"",R14&amp;" in Budget Period 5","")&amp;" of "&amp;'BP1'!B22&amp;"'s salary is requested. ",N14&amp;" of "&amp;'BP1'!B22&amp;"'s salary is requested"&amp;IF('BP1'!$K$5&gt;1," each budget period for "&amp;'BP1'!$K$5&amp;" budget periods. ",". ")),"")&amp;IF(OR('BP1'!G22=10,'BP1'!G22=11),'BP1'!B22&amp;" currently has a"&amp;IF('BP1'!G22=11,"n "," ")&amp;'BP1'!G22&amp;"-month appointment. ","")&amp;IF(AND('BP1'!$K$5&gt;1,'BP1'!$K$7&gt;0,OR('Cumulative Budget'!H22+'Cumulative Budget'!I22+'Cumulative Budget'!J22+'Cumulative Budget'!M22&gt;0)),"Salary is inflated by "&amp;('BP1'!$K$7*100)&amp;"% annually each September. ","")&amp;IF(ISBLANK('BP1'!Q22),"",'BP1'!Q22)</f>
        <v/>
      </c>
      <c r="B14" s="880"/>
      <c r="C14" s="880"/>
      <c r="D14" s="880"/>
      <c r="E14" s="880"/>
      <c r="F14" s="880"/>
      <c r="G14" s="880"/>
      <c r="H14" s="880"/>
      <c r="I14" s="224" t="str">
        <f>IF(SUM('Cumulative Budget'!H22:J22)&gt;0,(IF('BP1'!$K$5&gt;0,((IF('BP1'!H22&gt;0,CONCATENATE(IF('BP1'!H22&gt;0,TEXT('BP1'!H22,"0.00")&amp;" calendar month"&amp;IF('BP1'!H22&gt;1,"s",)&amp;" (or "&amp;TEXT('BP1'!H22/'BP1'!G22,"0%")&amp;" calendar effort)",)),CONCATENATE(IF('BP1'!I22&gt;0,TEXT('BP1'!I22,"0.00")&amp;" academic month"&amp;IF('BP1'!I22&gt;1,"s",)&amp;" (or "&amp;TEXT('BP1'!I22/9,"0%")&amp;" academic effort)",),IF(AND('BP1'!I22&gt;0,'BP1'!J22&gt;0)," and ",),IF('BP1'!J22&gt;0,TEXT('BP1'!J22,"0.00")&amp;" summer month"&amp;IF('BP1'!J22&gt;1,"s",)&amp;" (or "&amp;TEXT('BP1'!J22/3,"0%")&amp;" summer effort)",))))),"")),"")</f>
        <v/>
      </c>
      <c r="J14" s="224" t="str">
        <f>IF(SUM('Cumulative Budget'!H22:J22)&gt;0,(IF('BP1'!$K$5&gt;1,((IF('BP2'!H22&gt;0,CONCATENATE(IF('BP2'!H22&gt;0,TEXT('BP2'!H22,"0.00")&amp;" calendar month"&amp;IF('BP2'!H22&gt;1,"s",)&amp;" (or "&amp;TEXT('BP2'!H22/'BP2'!G22,"0%")&amp;" calendar effort)",)),CONCATENATE(IF('BP2'!I22&gt;0,TEXT('BP2'!I22,"0.00")&amp;" academic month"&amp;IF('BP2'!I22&gt;1,"s",)&amp;" (or "&amp;TEXT('BP2'!I22/9,"0%")&amp;" academic effort)",),IF(AND('BP2'!I22&gt;0,'BP2'!J22&gt;0)," and ",),IF('BP2'!J22&gt;0,TEXT('BP2'!J22,"0.00")&amp;" summer month"&amp;IF('BP2'!J22&gt;1,"s",)&amp;" (or "&amp;TEXT('BP2'!J22/3,"0%")&amp;" summer effort)",))))),"")),"")</f>
        <v/>
      </c>
      <c r="K14" s="224" t="str">
        <f>IF(SUM('Cumulative Budget'!H22:J22)&gt;0,(IF('BP1'!$K$5&gt;2,((IF('BP3'!H22&gt;0,CONCATENATE(IF('BP3'!H22&gt;0,TEXT('BP3'!H22,"0.00")&amp;" calendar month"&amp;IF('BP3'!H22&gt;1,"s",)&amp;" (or "&amp;TEXT('BP3'!H22/'BP3'!G22,"0%")&amp;" calendar effort)",)),CONCATENATE(IF('BP3'!I22&gt;0,TEXT('BP3'!I22,"0.00")&amp;" academic month"&amp;IF('BP3'!I22&gt;1,"s",)&amp;" (or "&amp;TEXT('BP3'!I22/9,"0%")&amp;" academic effort)",),IF(AND('BP3'!I22&gt;0,'BP3'!J22&gt;0)," and ",),IF('BP3'!J22&gt;0,TEXT('BP3'!J22,"0.00")&amp;" summer month"&amp;IF('BP3'!J22&gt;1,"s",)&amp;" (or "&amp;TEXT('BP3'!J22/3,"0%")&amp;" summer effort)",))))),"")),"")</f>
        <v/>
      </c>
      <c r="L14" s="224" t="str">
        <f>IF(SUM('Cumulative Budget'!H22:J22)&gt;0,(IF('BP1'!$K$5&gt;3,((IF('BP4'!H22&gt;0,CONCATENATE(IF('BP4'!H22&gt;0,TEXT('BP4'!H22,"0.00")&amp;" calendar month"&amp;IF('BP4'!H22&gt;1,"s",)&amp;" (or "&amp;TEXT('BP4'!H22/'BP4'!G22,"0%")&amp;" calendar effort)",)),CONCATENATE(IF('BP4'!I22&gt;0,TEXT('BP4'!I22,"0.00")&amp;" academic month"&amp;IF('BP4'!I22&gt;1,"s",)&amp;" (or "&amp;TEXT('BP4'!I22/9,"0%")&amp;" academic effort)",),IF(AND('BP4'!I22&gt;0,'BP4'!J22&gt;0)," and ",),IF('BP4'!J22&gt;0,TEXT('BP4'!J22,"0.00")&amp;" summer month"&amp;IF('BP4'!J22&gt;1,"s",)&amp;" (or "&amp;TEXT('BP4'!J22/3,"0%")&amp;" summer effort)",))))),"")),"")</f>
        <v/>
      </c>
      <c r="M14" s="224" t="str">
        <f>IF(SUM('Cumulative Budget'!H22:J22)&gt;0,(IF('BP1'!$K$5&gt;4,((IF('BP5'!H22&gt;0,CONCATENATE(IF('BP5'!H22&gt;0,TEXT('BP5'!H22,"0.00")&amp;" calendar month"&amp;IF('BP5'!H22&gt;1,"s",)&amp;" (or "&amp;TEXT('BP5'!H22/'BP5'!G22,"0%")&amp;" calendar effort)",)),CONCATENATE(IF('BP5'!I22&gt;0,TEXT('BP5'!I22,"0.00")&amp;" academic month"&amp;IF('BP5'!I22&gt;1,"s",)&amp;" (or "&amp;TEXT('BP5'!I22/9,"0%")&amp;" academic effort)",),IF(AND('BP5'!I22&gt;0,'BP5'!J22&gt;0)," and ",),IF('BP5'!J22&gt;0,TEXT('BP5'!J22,"0.00")&amp;" summer month"&amp;IF('BP5'!J22&gt;1,"s",)&amp;" (or "&amp;TEXT('BP5'!J22/3,"0%")&amp;" summer effort)",))))),"")),"")</f>
        <v/>
      </c>
      <c r="N14" s="224" t="str">
        <f>IF(AND('BP1'!M22&gt;0,'BP1'!$A$5&gt;0),TEXT('BP1'!M22,"0.00")&amp;" cost-shared month"&amp;IF('BP1'!M22&gt;1,"s",)&amp;" (or "&amp;TEXT('BP1'!M22/'BP1'!G22,"0%")&amp;" cost-shared effort)","")</f>
        <v/>
      </c>
      <c r="O14" s="224" t="str">
        <f>IF(AND('BP2'!M22&gt;0,'BP2'!$A$5&gt;0),TEXT('BP2'!M22,"0.00")&amp;" cost-shared month"&amp;IF('BP2'!M22&gt;1,"s",)&amp;" (or "&amp;TEXT('BP2'!M22/'BP2'!G22,"0%")&amp;" cost-shared effort)","")</f>
        <v/>
      </c>
      <c r="P14" s="224" t="str">
        <f>IF(AND('BP3'!M22&gt;0,'BP3'!$A$5&gt;0),TEXT('BP3'!M22,"0.00")&amp;" cost-shared month"&amp;IF('BP3'!M22&gt;1,"s",)&amp;" (or "&amp;TEXT('BP3'!M22/'BP3'!G22,"0%")&amp;" cost-shared effort)","")</f>
        <v/>
      </c>
      <c r="Q14" s="224" t="str">
        <f>IF(AND('BP4'!M22&gt;0,'BP4'!$A$5&gt;0),TEXT('BP4'!M22,"0.00")&amp;" cost-shared month"&amp;IF('BP4'!M22&gt;1,"s",)&amp;" (or "&amp;TEXT('BP4'!M22/'BP4'!G22,"0%")&amp;" cost-shared effort)","")</f>
        <v/>
      </c>
      <c r="R14" s="224" t="str">
        <f>IF(AND('BP5'!M22&gt;0,'BP5'!$A$5&gt;0),TEXT('BP5'!M22,"0.00")&amp;" cost-shared month"&amp;IF('BP5'!M22&gt;1,"s",)&amp;" (or "&amp;TEXT('BP5'!M22/'BP5'!G22,"0%")&amp;" cost-shared effort)","")</f>
        <v/>
      </c>
      <c r="S14" s="210" t="str">
        <f>IF(AND('BP1'!$K$5=2,I14&lt;&gt;J14),"Note: Effort changes in the outyears!","")&amp;IF(AND('BP1'!$K$5=3,OR(I14&lt;&gt;J14,I14&lt;&gt;K14,J14&lt;&gt;K14)),"Note: Effort changes in the outyears!","")&amp;IF(AND('BP1'!$K$5=4,OR(I14&lt;&gt;J14,I14&lt;&gt;K14,I14&lt;&gt;L14,J14&lt;&gt;K14,J14&lt;&gt;L14,K14&lt;&gt;L14)),"Note: Effort changes in the outyears!","")&amp;IF(AND('BP1'!$K$5=5,OR(I14&lt;&gt;J14,I14&lt;&gt;K14,I14&lt;&gt;L14,I14&lt;&gt;M14,J14&lt;&gt;K14,J14&lt;&gt;L14,J14&lt;&gt;M14,K14&lt;&gt;L14,K14&lt;&gt;M14,L14&lt;&gt;M14)),"Note: Effort changes in the outyears!","")</f>
        <v/>
      </c>
      <c r="T14" s="210" t="str">
        <f>IF(AND('BP1'!$K$5=2,N14&lt;&gt;O14),"Note: Effort changes in the outyears!","")&amp;IF(AND('BP1'!$K$5=3,OR(N14&lt;&gt;O14,N14&lt;&gt;P14,O14&lt;&gt;P14)),"Note: Effort changes in the outyears!","")&amp;IF(AND('BP1'!$K$5=4,OR(N14&lt;&gt;O14,N14&lt;&gt;P14,N14&lt;&gt;Q14,O14&lt;&gt;P14,O14&lt;&gt;Q14,P14&lt;&gt;Q14)),"Note: Effort changes in the outyears!","")&amp;IF(AND('BP1'!$K$5=5,OR(N14&lt;&gt;O14,N14&lt;&gt;P14,N14&lt;&gt;Q14,N14&lt;&gt;R14,O14&lt;&gt;P14,O14&lt;&gt;Q14,O14&lt;&gt;R14,P14&lt;&gt;Q14,P14&lt;&gt;R14,Q14&lt;&gt;R14)),"Note: Effort changes in the outyears!","")</f>
        <v/>
      </c>
      <c r="U14" s="561" t="str">
        <f t="shared" si="0"/>
        <v>Blank</v>
      </c>
    </row>
    <row r="15" spans="1:28" ht="60" customHeight="1">
      <c r="A15" s="880" t="str">
        <f>IF('Cumulative Budget'!H23+'Cumulative Budget'!I23+'Cumulative Budget'!J23&gt;0,IF(S15="Note: Effort changes in the outyears!",IF(I15&lt;&gt;"",I15&amp;" in Budget Period 1","")&amp;IF(AND(I15&lt;&gt;"",J15&lt;&gt;""),"; ","")&amp;IF(J15&lt;&gt;"",J15&amp;" in Budget Period 2","")&amp;IF(AND(OR(I15&lt;&gt;"",J15&lt;&gt;""),K15&lt;&gt;""),"; ","")&amp;IF(K15&lt;&gt;"",K15&amp;" in Budget Period 3","")&amp;IF(AND(OR(I15&lt;&gt;"",J15&lt;&gt;"",K15&lt;&gt;""),L15&lt;&gt;""),"; ","")&amp;IF(L15&lt;&gt;"",L15&amp;" in Budget Period 4","")&amp;IF(AND(OR(I15&lt;&gt;"",J15&lt;&gt;"",K15&lt;&gt;"",L15&lt;&gt;""),M15&lt;&gt;""),"; ","")&amp;IF(M15&lt;&gt;"",M15&amp;" in Budget Period 5","")&amp;" of "&amp;'BP1'!B23&amp;"'s salary is requested. ",I15&amp;" of "&amp;'BP1'!B23&amp;"'s salary is requested"&amp;IF('BP1'!$K$5&gt;1," each budget period for "&amp;'BP1'!$K$5&amp;" budget periods. ",". ")),"")&amp;IF('Cumulative Budget'!M23&gt;0,IF(T15="Note: Effort changes in the outyears!",IF(N15&lt;&gt;"",N15&amp;" in Budget Period 1","")&amp;IF(AND(N15&lt;&gt;"",O15&lt;&gt;""),"; ","")&amp;IF(O15&lt;&gt;"",O15&amp;" in Budget Period 2","")&amp;IF(AND(OR(N15&lt;&gt;"",O15&lt;&gt;""),P15&lt;&gt;""),"; ","")&amp;IF(P15&lt;&gt;"",P15&amp;" in Budget Period 3","")&amp;IF(AND(OR(N15&lt;&gt;"",O15&lt;&gt;"",P15&lt;&gt;""),Q15&lt;&gt;""),"; ","")&amp;IF(Q15&lt;&gt;"",Q15&amp;" in Budget Period 4","")&amp;IF(AND(OR(N15&lt;&gt;"",O15&lt;&gt;"",P15&lt;&gt;"",Q15&lt;&gt;""),R15&lt;&gt;""),"; ","")&amp;IF(R15&lt;&gt;"",R15&amp;" in Budget Period 5","")&amp;" of "&amp;'BP1'!B23&amp;"'s salary is requested. ",N15&amp;" of "&amp;'BP1'!B23&amp;"'s salary is requested"&amp;IF('BP1'!$K$5&gt;1," each budget period for "&amp;'BP1'!$K$5&amp;" budget periods. ",". ")),"")&amp;IF(OR('BP1'!G23=10,'BP1'!G23=11),'BP1'!B23&amp;" currently has a"&amp;IF('BP1'!G23=11,"n "," ")&amp;'BP1'!G23&amp;"-month appointment. ","")&amp;IF(AND('BP1'!$K$5&gt;1,'BP1'!$K$7&gt;0,OR('Cumulative Budget'!H23+'Cumulative Budget'!I23+'Cumulative Budget'!J23+'Cumulative Budget'!M23&gt;0)),"Salary is inflated by "&amp;('BP1'!$K$7*100)&amp;"% annually each September. ","")&amp;IF(ISBLANK('BP1'!Q23),"",'BP1'!Q23)</f>
        <v/>
      </c>
      <c r="B15" s="880"/>
      <c r="C15" s="880"/>
      <c r="D15" s="880"/>
      <c r="E15" s="880"/>
      <c r="F15" s="880"/>
      <c r="G15" s="880"/>
      <c r="H15" s="880"/>
      <c r="I15" s="224" t="str">
        <f>IF(SUM('Cumulative Budget'!H23:J23)&gt;0,(IF('BP1'!$K$5&gt;0,((IF('BP1'!H23&gt;0,CONCATENATE(IF('BP1'!H23&gt;0,TEXT('BP1'!H23,"0.00")&amp;" calendar month"&amp;IF('BP1'!H23&gt;1,"s",)&amp;" (or "&amp;TEXT('BP1'!H23/'BP1'!G23,"0%")&amp;" calendar effort)",)),CONCATENATE(IF('BP1'!I23&gt;0,TEXT('BP1'!I23,"0.00")&amp;" academic month"&amp;IF('BP1'!I23&gt;1,"s",)&amp;" (or "&amp;TEXT('BP1'!I23/9,"0%")&amp;" academic effort)",),IF(AND('BP1'!I23&gt;0,'BP1'!J23&gt;0)," and ",),IF('BP1'!J23&gt;0,TEXT('BP1'!J23,"0.00")&amp;" summer month"&amp;IF('BP1'!J23&gt;1,"s",)&amp;" (or "&amp;TEXT('BP1'!J23/3,"0%")&amp;" summer effort)",))))),"")),"")</f>
        <v/>
      </c>
      <c r="J15" s="224" t="str">
        <f>IF(SUM('Cumulative Budget'!H23:J23)&gt;0,(IF('BP1'!$K$5&gt;1,((IF('BP2'!H23&gt;0,CONCATENATE(IF('BP2'!H23&gt;0,TEXT('BP2'!H23,"0.00")&amp;" calendar month"&amp;IF('BP2'!H23&gt;1,"s",)&amp;" (or "&amp;TEXT('BP2'!H23/'BP2'!G23,"0%")&amp;" calendar effort)",)),CONCATENATE(IF('BP2'!I23&gt;0,TEXT('BP2'!I23,"0.00")&amp;" academic month"&amp;IF('BP2'!I23&gt;1,"s",)&amp;" (or "&amp;TEXT('BP2'!I23/9,"0%")&amp;" academic effort)",),IF(AND('BP2'!I23&gt;0,'BP2'!J23&gt;0)," and ",),IF('BP2'!J23&gt;0,TEXT('BP2'!J23,"0.00")&amp;" summer month"&amp;IF('BP2'!J23&gt;1,"s",)&amp;" (or "&amp;TEXT('BP2'!J23/3,"0%")&amp;" summer effort)",))))),"")),"")</f>
        <v/>
      </c>
      <c r="K15" s="224" t="str">
        <f>IF(SUM('Cumulative Budget'!H23:J23)&gt;0,(IF('BP1'!$K$5&gt;2,((IF('BP3'!H23&gt;0,CONCATENATE(IF('BP3'!H23&gt;0,TEXT('BP3'!H23,"0.00")&amp;" calendar month"&amp;IF('BP3'!H23&gt;1,"s",)&amp;" (or "&amp;TEXT('BP3'!H23/'BP3'!G23,"0%")&amp;" calendar effort)",)),CONCATENATE(IF('BP3'!I23&gt;0,TEXT('BP3'!I23,"0.00")&amp;" academic month"&amp;IF('BP3'!I23&gt;1,"s",)&amp;" (or "&amp;TEXT('BP3'!I23/9,"0%")&amp;" academic effort)",),IF(AND('BP3'!I23&gt;0,'BP3'!J23&gt;0)," and ",),IF('BP3'!J23&gt;0,TEXT('BP3'!J23,"0.00")&amp;" summer month"&amp;IF('BP3'!J23&gt;1,"s",)&amp;" (or "&amp;TEXT('BP3'!J23/3,"0%")&amp;" summer effort)",))))),"")),"")</f>
        <v/>
      </c>
      <c r="L15" s="224" t="str">
        <f>IF(SUM('Cumulative Budget'!H23:J23)&gt;0,(IF('BP1'!$K$5&gt;3,((IF('BP4'!H23&gt;0,CONCATENATE(IF('BP4'!H23&gt;0,TEXT('BP4'!H23,"0.00")&amp;" calendar month"&amp;IF('BP4'!H23&gt;1,"s",)&amp;" (or "&amp;TEXT('BP4'!H23/'BP4'!G23,"0%")&amp;" calendar effort)",)),CONCATENATE(IF('BP4'!I23&gt;0,TEXT('BP4'!I23,"0.00")&amp;" academic month"&amp;IF('BP4'!I23&gt;1,"s",)&amp;" (or "&amp;TEXT('BP4'!I23/9,"0%")&amp;" academic effort)",),IF(AND('BP4'!I23&gt;0,'BP4'!J23&gt;0)," and ",),IF('BP4'!J23&gt;0,TEXT('BP4'!J23,"0.00")&amp;" summer month"&amp;IF('BP4'!J23&gt;1,"s",)&amp;" (or "&amp;TEXT('BP4'!J23/3,"0%")&amp;" summer effort)",))))),"")),"")</f>
        <v/>
      </c>
      <c r="M15" s="224" t="str">
        <f>IF(SUM('Cumulative Budget'!H23:J23)&gt;0,(IF('BP1'!$K$5&gt;4,((IF('BP5'!H23&gt;0,CONCATENATE(IF('BP5'!H23&gt;0,TEXT('BP5'!H23,"0.00")&amp;" calendar month"&amp;IF('BP5'!H23&gt;1,"s",)&amp;" (or "&amp;TEXT('BP5'!H23/'BP5'!G23,"0%")&amp;" calendar effort)",)),CONCATENATE(IF('BP5'!I23&gt;0,TEXT('BP5'!I23,"0.00")&amp;" academic month"&amp;IF('BP5'!I23&gt;1,"s",)&amp;" (or "&amp;TEXT('BP5'!I23/9,"0%")&amp;" academic effort)",),IF(AND('BP5'!I23&gt;0,'BP5'!J23&gt;0)," and ",),IF('BP5'!J23&gt;0,TEXT('BP5'!J23,"0.00")&amp;" summer month"&amp;IF('BP5'!J23&gt;1,"s",)&amp;" (or "&amp;TEXT('BP5'!J23/3,"0%")&amp;" summer effort)",))))),"")),"")</f>
        <v/>
      </c>
      <c r="N15" s="224" t="str">
        <f>IF(AND('BP1'!M23&gt;0,'BP1'!$A$5&gt;0),TEXT('BP1'!M23,"0.00")&amp;" cost-shared month"&amp;IF('BP1'!M23&gt;1,"s",)&amp;" (or "&amp;TEXT('BP1'!M23/'BP1'!G23,"0%")&amp;" cost-shared effort)","")</f>
        <v/>
      </c>
      <c r="O15" s="224" t="str">
        <f>IF(AND('BP2'!M23&gt;0,'BP2'!$A$5&gt;0),TEXT('BP2'!M23,"0.00")&amp;" cost-shared month"&amp;IF('BP2'!M23&gt;1,"s",)&amp;" (or "&amp;TEXT('BP2'!M23/'BP2'!G23,"0%")&amp;" cost-shared effort)","")</f>
        <v/>
      </c>
      <c r="P15" s="224" t="str">
        <f>IF(AND('BP3'!M23&gt;0,'BP3'!$A$5&gt;0),TEXT('BP3'!M23,"0.00")&amp;" cost-shared month"&amp;IF('BP3'!M23&gt;1,"s",)&amp;" (or "&amp;TEXT('BP3'!M23/'BP3'!G23,"0%")&amp;" cost-shared effort)","")</f>
        <v/>
      </c>
      <c r="Q15" s="224" t="str">
        <f>IF(AND('BP4'!M23&gt;0,'BP4'!$A$5&gt;0),TEXT('BP4'!M23,"0.00")&amp;" cost-shared month"&amp;IF('BP4'!M23&gt;1,"s",)&amp;" (or "&amp;TEXT('BP4'!M23/'BP4'!G23,"0%")&amp;" cost-shared effort)","")</f>
        <v/>
      </c>
      <c r="R15" s="224" t="str">
        <f>IF(AND('BP5'!M23&gt;0,'BP5'!$A$5&gt;0),TEXT('BP5'!M23,"0.00")&amp;" cost-shared month"&amp;IF('BP5'!M23&gt;1,"s",)&amp;" (or "&amp;TEXT('BP5'!M23/'BP5'!G23,"0%")&amp;" cost-shared effort)","")</f>
        <v/>
      </c>
      <c r="S15" s="210" t="str">
        <f>IF(AND('BP1'!$K$5=2,I15&lt;&gt;J15),"Note: Effort changes in the outyears!","")&amp;IF(AND('BP1'!$K$5=3,OR(I15&lt;&gt;J15,I15&lt;&gt;K15,J15&lt;&gt;K15)),"Note: Effort changes in the outyears!","")&amp;IF(AND('BP1'!$K$5=4,OR(I15&lt;&gt;J15,I15&lt;&gt;K15,I15&lt;&gt;L15,J15&lt;&gt;K15,J15&lt;&gt;L15,K15&lt;&gt;L15)),"Note: Effort changes in the outyears!","")&amp;IF(AND('BP1'!$K$5=5,OR(I15&lt;&gt;J15,I15&lt;&gt;K15,I15&lt;&gt;L15,I15&lt;&gt;M15,J15&lt;&gt;K15,J15&lt;&gt;L15,J15&lt;&gt;M15,K15&lt;&gt;L15,K15&lt;&gt;M15,L15&lt;&gt;M15)),"Note: Effort changes in the outyears!","")</f>
        <v/>
      </c>
      <c r="T15" s="210" t="str">
        <f>IF(AND('BP1'!$K$5=2,N15&lt;&gt;O15),"Note: Effort changes in the outyears!","")&amp;IF(AND('BP1'!$K$5=3,OR(N15&lt;&gt;O15,N15&lt;&gt;P15,O15&lt;&gt;P15)),"Note: Effort changes in the outyears!","")&amp;IF(AND('BP1'!$K$5=4,OR(N15&lt;&gt;O15,N15&lt;&gt;P15,N15&lt;&gt;Q15,O15&lt;&gt;P15,O15&lt;&gt;Q15,P15&lt;&gt;Q15)),"Note: Effort changes in the outyears!","")&amp;IF(AND('BP1'!$K$5=5,OR(N15&lt;&gt;O15,N15&lt;&gt;P15,N15&lt;&gt;Q15,N15&lt;&gt;R15,O15&lt;&gt;P15,O15&lt;&gt;Q15,O15&lt;&gt;R15,P15&lt;&gt;Q15,P15&lt;&gt;R15,Q15&lt;&gt;R15)),"Note: Effort changes in the outyears!","")</f>
        <v/>
      </c>
      <c r="U15" s="561" t="str">
        <f t="shared" si="0"/>
        <v>Blank</v>
      </c>
    </row>
    <row r="16" spans="1:28" ht="60" customHeight="1">
      <c r="A16" s="880" t="str">
        <f>IF('Cumulative Budget'!H24+'Cumulative Budget'!I24+'Cumulative Budget'!J24&gt;0,IF(S16="Note: Effort changes in the outyears!",IF(I16&lt;&gt;"",I16&amp;" in Budget Period 1","")&amp;IF(AND(I16&lt;&gt;"",J16&lt;&gt;""),"; ","")&amp;IF(J16&lt;&gt;"",J16&amp;" in Budget Period 2","")&amp;IF(AND(OR(I16&lt;&gt;"",J16&lt;&gt;""),K16&lt;&gt;""),"; ","")&amp;IF(K16&lt;&gt;"",K16&amp;" in Budget Period 3","")&amp;IF(AND(OR(I16&lt;&gt;"",J16&lt;&gt;"",K16&lt;&gt;""),L16&lt;&gt;""),"; ","")&amp;IF(L16&lt;&gt;"",L16&amp;" in Budget Period 4","")&amp;IF(AND(OR(I16&lt;&gt;"",J16&lt;&gt;"",K16&lt;&gt;"",L16&lt;&gt;""),M16&lt;&gt;""),"; ","")&amp;IF(M16&lt;&gt;"",M16&amp;" in Budget Period 5","")&amp;" of "&amp;'BP1'!B24&amp;"'s salary is requested. ",I16&amp;" of "&amp;'BP1'!B24&amp;"'s salary is requested"&amp;IF('BP1'!$K$5&gt;1," each budget period for "&amp;'BP1'!$K$5&amp;" budget periods. ",". ")),"")&amp;IF('Cumulative Budget'!M24&gt;0,IF(T16="Note: Effort changes in the outyears!",IF(N16&lt;&gt;"",N16&amp;" in Budget Period 1","")&amp;IF(AND(N16&lt;&gt;"",O16&lt;&gt;""),"; ","")&amp;IF(O16&lt;&gt;"",O16&amp;" in Budget Period 2","")&amp;IF(AND(OR(N16&lt;&gt;"",O16&lt;&gt;""),P16&lt;&gt;""),"; ","")&amp;IF(P16&lt;&gt;"",P16&amp;" in Budget Period 3","")&amp;IF(AND(OR(N16&lt;&gt;"",O16&lt;&gt;"",P16&lt;&gt;""),Q16&lt;&gt;""),"; ","")&amp;IF(Q16&lt;&gt;"",Q16&amp;" in Budget Period 4","")&amp;IF(AND(OR(N16&lt;&gt;"",O16&lt;&gt;"",P16&lt;&gt;"",Q16&lt;&gt;""),R16&lt;&gt;""),"; ","")&amp;IF(R16&lt;&gt;"",R16&amp;" in Budget Period 5","")&amp;" of "&amp;'BP1'!B24&amp;"'s salary is requested. ",N16&amp;" of "&amp;'BP1'!B24&amp;"'s salary is requested"&amp;IF('BP1'!$K$5&gt;1," each budget period for "&amp;'BP1'!$K$5&amp;" budget periods. ",". ")),"")&amp;IF(OR('BP1'!G24=10,'BP1'!G24=11),'BP1'!B24&amp;" currently has a"&amp;IF('BP1'!G24=11,"n "," ")&amp;'BP1'!G24&amp;"-month appointment. ","")&amp;IF(AND('BP1'!$K$5&gt;1,'BP1'!$K$7&gt;0,OR('Cumulative Budget'!H24+'Cumulative Budget'!I24+'Cumulative Budget'!J24+'Cumulative Budget'!M24&gt;0)),"Salary is inflated by "&amp;('BP1'!$K$7*100)&amp;"% annually each September. ","")&amp;IF(ISBLANK('BP1'!Q24),"",'BP1'!Q24)</f>
        <v/>
      </c>
      <c r="B16" s="880"/>
      <c r="C16" s="880"/>
      <c r="D16" s="880"/>
      <c r="E16" s="880"/>
      <c r="F16" s="880"/>
      <c r="G16" s="880"/>
      <c r="H16" s="880"/>
      <c r="I16" s="224" t="str">
        <f>IF(SUM('Cumulative Budget'!H24:J24)&gt;0,(IF('BP1'!$K$5&gt;0,((IF('BP1'!H24&gt;0,CONCATENATE(IF('BP1'!H24&gt;0,TEXT('BP1'!H24,"0.00")&amp;" calendar month"&amp;IF('BP1'!H24&gt;1,"s",)&amp;" (or "&amp;TEXT('BP1'!H24/'BP1'!G24,"0%")&amp;" calendar effort)",)),CONCATENATE(IF('BP1'!I24&gt;0,TEXT('BP1'!I24,"0.00")&amp;" academic month"&amp;IF('BP1'!I24&gt;1,"s",)&amp;" (or "&amp;TEXT('BP1'!I24/9,"0%")&amp;" academic effort)",),IF(AND('BP1'!I24&gt;0,'BP1'!J24&gt;0)," and ",),IF('BP1'!J24&gt;0,TEXT('BP1'!J24,"0.00")&amp;" summer month"&amp;IF('BP1'!J24&gt;1,"s",)&amp;" (or "&amp;TEXT('BP1'!J24/3,"0%")&amp;" summer effort)",))))),"")),"")</f>
        <v/>
      </c>
      <c r="J16" s="224" t="str">
        <f>IF(SUM('Cumulative Budget'!H24:J24)&gt;0,(IF('BP1'!$K$5&gt;1,((IF('BP2'!H24&gt;0,CONCATENATE(IF('BP2'!H24&gt;0,TEXT('BP2'!H24,"0.00")&amp;" calendar month"&amp;IF('BP2'!H24&gt;1,"s",)&amp;" (or "&amp;TEXT('BP2'!H24/'BP2'!G24,"0%")&amp;" calendar effort)",)),CONCATENATE(IF('BP2'!I24&gt;0,TEXT('BP2'!I24,"0.00")&amp;" academic month"&amp;IF('BP2'!I24&gt;1,"s",)&amp;" (or "&amp;TEXT('BP2'!I24/9,"0%")&amp;" academic effort)",),IF(AND('BP2'!I24&gt;0,'BP2'!J24&gt;0)," and ",),IF('BP2'!J24&gt;0,TEXT('BP2'!J24,"0.00")&amp;" summer month"&amp;IF('BP2'!J24&gt;1,"s",)&amp;" (or "&amp;TEXT('BP2'!J24/3,"0%")&amp;" summer effort)",))))),"")),"")</f>
        <v/>
      </c>
      <c r="K16" s="224" t="str">
        <f>IF(SUM('Cumulative Budget'!H24:J24)&gt;0,(IF('BP1'!$K$5&gt;2,((IF('BP3'!H24&gt;0,CONCATENATE(IF('BP3'!H24&gt;0,TEXT('BP3'!H24,"0.00")&amp;" calendar month"&amp;IF('BP3'!H24&gt;1,"s",)&amp;" (or "&amp;TEXT('BP3'!H24/'BP3'!G24,"0%")&amp;" calendar effort)",)),CONCATENATE(IF('BP3'!I24&gt;0,TEXT('BP3'!I24,"0.00")&amp;" academic month"&amp;IF('BP3'!I24&gt;1,"s",)&amp;" (or "&amp;TEXT('BP3'!I24/9,"0%")&amp;" academic effort)",),IF(AND('BP3'!I24&gt;0,'BP3'!J24&gt;0)," and ",),IF('BP3'!J24&gt;0,TEXT('BP3'!J24,"0.00")&amp;" summer month"&amp;IF('BP3'!J24&gt;1,"s",)&amp;" (or "&amp;TEXT('BP3'!J24/3,"0%")&amp;" summer effort)",))))),"")),"")</f>
        <v/>
      </c>
      <c r="L16" s="224" t="str">
        <f>IF(SUM('Cumulative Budget'!H24:J24)&gt;0,(IF('BP1'!$K$5&gt;3,((IF('BP4'!H24&gt;0,CONCATENATE(IF('BP4'!H24&gt;0,TEXT('BP4'!H24,"0.00")&amp;" calendar month"&amp;IF('BP4'!H24&gt;1,"s",)&amp;" (or "&amp;TEXT('BP4'!H24/'BP4'!G24,"0%")&amp;" calendar effort)",)),CONCATENATE(IF('BP4'!I24&gt;0,TEXT('BP4'!I24,"0.00")&amp;" academic month"&amp;IF('BP4'!I24&gt;1,"s",)&amp;" (or "&amp;TEXT('BP4'!I24/9,"0%")&amp;" academic effort)",),IF(AND('BP4'!I24&gt;0,'BP4'!J24&gt;0)," and ",),IF('BP4'!J24&gt;0,TEXT('BP4'!J24,"0.00")&amp;" summer month"&amp;IF('BP4'!J24&gt;1,"s",)&amp;" (or "&amp;TEXT('BP4'!J24/3,"0%")&amp;" summer effort)",))))),"")),"")</f>
        <v/>
      </c>
      <c r="M16" s="224" t="str">
        <f>IF(SUM('Cumulative Budget'!H24:J24)&gt;0,(IF('BP1'!$K$5&gt;4,((IF('BP5'!H24&gt;0,CONCATENATE(IF('BP5'!H24&gt;0,TEXT('BP5'!H24,"0.00")&amp;" calendar month"&amp;IF('BP5'!H24&gt;1,"s",)&amp;" (or "&amp;TEXT('BP5'!H24/'BP5'!G24,"0%")&amp;" calendar effort)",)),CONCATENATE(IF('BP5'!I24&gt;0,TEXT('BP5'!I24,"0.00")&amp;" academic month"&amp;IF('BP5'!I24&gt;1,"s",)&amp;" (or "&amp;TEXT('BP5'!I24/9,"0%")&amp;" academic effort)",),IF(AND('BP5'!I24&gt;0,'BP5'!J24&gt;0)," and ",),IF('BP5'!J24&gt;0,TEXT('BP5'!J24,"0.00")&amp;" summer month"&amp;IF('BP5'!J24&gt;1,"s",)&amp;" (or "&amp;TEXT('BP5'!J24/3,"0%")&amp;" summer effort)",))))),"")),"")</f>
        <v/>
      </c>
      <c r="N16" s="224" t="str">
        <f>IF(AND('BP1'!M24&gt;0,'BP1'!$A$5&gt;0),TEXT('BP1'!M24,"0.00")&amp;" cost-shared month"&amp;IF('BP1'!M24&gt;1,"s",)&amp;" (or "&amp;TEXT('BP1'!M24/'BP1'!G24,"0%")&amp;" cost-shared effort)","")</f>
        <v/>
      </c>
      <c r="O16" s="224" t="str">
        <f>IF(AND('BP2'!M24&gt;0,'BP2'!$A$5&gt;0),TEXT('BP2'!M24,"0.00")&amp;" cost-shared month"&amp;IF('BP2'!M24&gt;1,"s",)&amp;" (or "&amp;TEXT('BP2'!M24/'BP2'!G24,"0%")&amp;" cost-shared effort)","")</f>
        <v/>
      </c>
      <c r="P16" s="224" t="str">
        <f>IF(AND('BP3'!M24&gt;0,'BP3'!$A$5&gt;0),TEXT('BP3'!M24,"0.00")&amp;" cost-shared month"&amp;IF('BP3'!M24&gt;1,"s",)&amp;" (or "&amp;TEXT('BP3'!M24/'BP3'!G24,"0%")&amp;" cost-shared effort)","")</f>
        <v/>
      </c>
      <c r="Q16" s="224" t="str">
        <f>IF(AND('BP4'!M24&gt;0,'BP4'!$A$5&gt;0),TEXT('BP4'!M24,"0.00")&amp;" cost-shared month"&amp;IF('BP4'!M24&gt;1,"s",)&amp;" (or "&amp;TEXT('BP4'!M24/'BP4'!G24,"0%")&amp;" cost-shared effort)","")</f>
        <v/>
      </c>
      <c r="R16" s="224" t="str">
        <f>IF(AND('BP5'!M24&gt;0,'BP5'!$A$5&gt;0),TEXT('BP5'!M24,"0.00")&amp;" cost-shared month"&amp;IF('BP5'!M24&gt;1,"s",)&amp;" (or "&amp;TEXT('BP5'!M24/'BP5'!G24,"0%")&amp;" cost-shared effort)","")</f>
        <v/>
      </c>
      <c r="S16" s="210" t="str">
        <f>IF(AND('BP1'!$K$5=2,I16&lt;&gt;J16),"Note: Effort changes in the outyears!","")&amp;IF(AND('BP1'!$K$5=3,OR(I16&lt;&gt;J16,I16&lt;&gt;K16,J16&lt;&gt;K16)),"Note: Effort changes in the outyears!","")&amp;IF(AND('BP1'!$K$5=4,OR(I16&lt;&gt;J16,I16&lt;&gt;K16,I16&lt;&gt;L16,J16&lt;&gt;K16,J16&lt;&gt;L16,K16&lt;&gt;L16)),"Note: Effort changes in the outyears!","")&amp;IF(AND('BP1'!$K$5=5,OR(I16&lt;&gt;J16,I16&lt;&gt;K16,I16&lt;&gt;L16,I16&lt;&gt;M16,J16&lt;&gt;K16,J16&lt;&gt;L16,J16&lt;&gt;M16,K16&lt;&gt;L16,K16&lt;&gt;M16,L16&lt;&gt;M16)),"Note: Effort changes in the outyears!","")</f>
        <v/>
      </c>
      <c r="T16" s="210" t="str">
        <f>IF(AND('BP1'!$K$5=2,N16&lt;&gt;O16),"Note: Effort changes in the outyears!","")&amp;IF(AND('BP1'!$K$5=3,OR(N16&lt;&gt;O16,N16&lt;&gt;P16,O16&lt;&gt;P16)),"Note: Effort changes in the outyears!","")&amp;IF(AND('BP1'!$K$5=4,OR(N16&lt;&gt;O16,N16&lt;&gt;P16,N16&lt;&gt;Q16,O16&lt;&gt;P16,O16&lt;&gt;Q16,P16&lt;&gt;Q16)),"Note: Effort changes in the outyears!","")&amp;IF(AND('BP1'!$K$5=5,OR(N16&lt;&gt;O16,N16&lt;&gt;P16,N16&lt;&gt;Q16,N16&lt;&gt;R16,O16&lt;&gt;P16,O16&lt;&gt;Q16,O16&lt;&gt;R16,P16&lt;&gt;Q16,P16&lt;&gt;R16,Q16&lt;&gt;R16)),"Note: Effort changes in the outyears!","")</f>
        <v/>
      </c>
      <c r="U16" s="561" t="str">
        <f t="shared" si="0"/>
        <v>Blank</v>
      </c>
    </row>
    <row r="17" spans="1:21" ht="60" customHeight="1">
      <c r="A17" s="880" t="str">
        <f>IF('Cumulative Budget'!H25+'Cumulative Budget'!I25+'Cumulative Budget'!J25&gt;0,IF(S17="Note: Effort changes in the outyears!",IF(I17&lt;&gt;"",I17&amp;" in Budget Period 1","")&amp;IF(AND(I17&lt;&gt;"",J17&lt;&gt;""),"; ","")&amp;IF(J17&lt;&gt;"",J17&amp;" in Budget Period 2","")&amp;IF(AND(OR(I17&lt;&gt;"",J17&lt;&gt;""),K17&lt;&gt;""),"; ","")&amp;IF(K17&lt;&gt;"",K17&amp;" in Budget Period 3","")&amp;IF(AND(OR(I17&lt;&gt;"",J17&lt;&gt;"",K17&lt;&gt;""),L17&lt;&gt;""),"; ","")&amp;IF(L17&lt;&gt;"",L17&amp;" in Budget Period 4","")&amp;IF(AND(OR(I17&lt;&gt;"",J17&lt;&gt;"",K17&lt;&gt;"",L17&lt;&gt;""),M17&lt;&gt;""),"; ","")&amp;IF(M17&lt;&gt;"",M17&amp;" in Budget Period 5","")&amp;" of "&amp;'BP1'!B25&amp;"'s salary is requested. ",I17&amp;" of "&amp;'BP1'!B25&amp;"'s salary is requested"&amp;IF('BP1'!$K$5&gt;1," each budget period for "&amp;'BP1'!$K$5&amp;" budget periods. ",". ")),"")&amp;IF('Cumulative Budget'!M25&gt;0,IF(T17="Note: Effort changes in the outyears!",IF(N17&lt;&gt;"",N17&amp;" in Budget Period 1","")&amp;IF(AND(N17&lt;&gt;"",O17&lt;&gt;""),"; ","")&amp;IF(O17&lt;&gt;"",O17&amp;" in Budget Period 2","")&amp;IF(AND(OR(N17&lt;&gt;"",O17&lt;&gt;""),P17&lt;&gt;""),"; ","")&amp;IF(P17&lt;&gt;"",P17&amp;" in Budget Period 3","")&amp;IF(AND(OR(N17&lt;&gt;"",O17&lt;&gt;"",P17&lt;&gt;""),Q17&lt;&gt;""),"; ","")&amp;IF(Q17&lt;&gt;"",Q17&amp;" in Budget Period 4","")&amp;IF(AND(OR(N17&lt;&gt;"",O17&lt;&gt;"",P17&lt;&gt;"",Q17&lt;&gt;""),R17&lt;&gt;""),"; ","")&amp;IF(R17&lt;&gt;"",R17&amp;" in Budget Period 5","")&amp;" of "&amp;'BP1'!B25&amp;"'s salary is requested. ",N17&amp;" of "&amp;'BP1'!B25&amp;"'s salary is requested"&amp;IF('BP1'!$K$5&gt;1," each budget period for "&amp;'BP1'!$K$5&amp;" budget periods. ",". ")),"")&amp;IF(OR('BP1'!G25=10,'BP1'!G25=11),'BP1'!B25&amp;" currently has a"&amp;IF('BP1'!G25=11,"n "," ")&amp;'BP1'!G25&amp;"-month appointment. ","")&amp;IF(AND('BP1'!$K$5&gt;1,'BP1'!$K$7&gt;0,OR('Cumulative Budget'!H25+'Cumulative Budget'!I25+'Cumulative Budget'!J25+'Cumulative Budget'!M25&gt;0)),"Salary is inflated by "&amp;('BP1'!$K$7*100)&amp;"% annually each September. ","")&amp;IF(ISBLANK('BP1'!Q25),"",'BP1'!Q25)</f>
        <v/>
      </c>
      <c r="B17" s="880"/>
      <c r="C17" s="880"/>
      <c r="D17" s="880"/>
      <c r="E17" s="880"/>
      <c r="F17" s="880"/>
      <c r="G17" s="880"/>
      <c r="H17" s="880"/>
      <c r="I17" s="224" t="str">
        <f>IF(SUM('Cumulative Budget'!H25:J25)&gt;0,(IF('BP1'!$K$5&gt;0,((IF('BP1'!H25&gt;0,CONCATENATE(IF('BP1'!H25&gt;0,TEXT('BP1'!H25,"0.00")&amp;" calendar month"&amp;IF('BP1'!H25&gt;1,"s",)&amp;" (or "&amp;TEXT('BP1'!H25/'BP1'!G25,"0%")&amp;" calendar effort)",)),CONCATENATE(IF('BP1'!I25&gt;0,TEXT('BP1'!I25,"0.00")&amp;" academic month"&amp;IF('BP1'!I25&gt;1,"s",)&amp;" (or "&amp;TEXT('BP1'!I25/9,"0%")&amp;" academic effort)",),IF(AND('BP1'!I25&gt;0,'BP1'!J25&gt;0)," and ",),IF('BP1'!J25&gt;0,TEXT('BP1'!J25,"0.00")&amp;" summer month"&amp;IF('BP1'!J25&gt;1,"s",)&amp;" (or "&amp;TEXT('BP1'!J25/3,"0%")&amp;" summer effort)",))))),"")),"")</f>
        <v/>
      </c>
      <c r="J17" s="224" t="str">
        <f>IF(SUM('Cumulative Budget'!H25:J25)&gt;0,(IF('BP1'!$K$5&gt;1,((IF('BP2'!H25&gt;0,CONCATENATE(IF('BP2'!H25&gt;0,TEXT('BP2'!H25,"0.00")&amp;" calendar month"&amp;IF('BP2'!H25&gt;1,"s",)&amp;" (or "&amp;TEXT('BP2'!H25/'BP2'!G25,"0%")&amp;" calendar effort)",)),CONCATENATE(IF('BP2'!I25&gt;0,TEXT('BP2'!I25,"0.00")&amp;" academic month"&amp;IF('BP2'!I25&gt;1,"s",)&amp;" (or "&amp;TEXT('BP2'!I25/9,"0%")&amp;" academic effort)",),IF(AND('BP2'!I25&gt;0,'BP2'!J25&gt;0)," and ",),IF('BP2'!J25&gt;0,TEXT('BP2'!J25,"0.00")&amp;" summer month"&amp;IF('BP2'!J25&gt;1,"s",)&amp;" (or "&amp;TEXT('BP2'!J25/3,"0%")&amp;" summer effort)",))))),"")),"")</f>
        <v/>
      </c>
      <c r="K17" s="224" t="str">
        <f>IF(SUM('Cumulative Budget'!H25:J25)&gt;0,(IF('BP1'!$K$5&gt;2,((IF('BP3'!H25&gt;0,CONCATENATE(IF('BP3'!H25&gt;0,TEXT('BP3'!H25,"0.00")&amp;" calendar month"&amp;IF('BP3'!H25&gt;1,"s",)&amp;" (or "&amp;TEXT('BP3'!H25/'BP3'!G25,"0%")&amp;" calendar effort)",)),CONCATENATE(IF('BP3'!I25&gt;0,TEXT('BP3'!I25,"0.00")&amp;" academic month"&amp;IF('BP3'!I25&gt;1,"s",)&amp;" (or "&amp;TEXT('BP3'!I25/9,"0%")&amp;" academic effort)",),IF(AND('BP3'!I25&gt;0,'BP3'!J25&gt;0)," and ",),IF('BP3'!J25&gt;0,TEXT('BP3'!J25,"0.00")&amp;" summer month"&amp;IF('BP3'!J25&gt;1,"s",)&amp;" (or "&amp;TEXT('BP3'!J25/3,"0%")&amp;" summer effort)",))))),"")),"")</f>
        <v/>
      </c>
      <c r="L17" s="224" t="str">
        <f>IF(SUM('Cumulative Budget'!H25:J25)&gt;0,(IF('BP1'!$K$5&gt;3,((IF('BP4'!H25&gt;0,CONCATENATE(IF('BP4'!H25&gt;0,TEXT('BP4'!H25,"0.00")&amp;" calendar month"&amp;IF('BP4'!H25&gt;1,"s",)&amp;" (or "&amp;TEXT('BP4'!H25/'BP4'!G25,"0%")&amp;" calendar effort)",)),CONCATENATE(IF('BP4'!I25&gt;0,TEXT('BP4'!I25,"0.00")&amp;" academic month"&amp;IF('BP4'!I25&gt;1,"s",)&amp;" (or "&amp;TEXT('BP4'!I25/9,"0%")&amp;" academic effort)",),IF(AND('BP4'!I25&gt;0,'BP4'!J25&gt;0)," and ",),IF('BP4'!J25&gt;0,TEXT('BP4'!J25,"0.00")&amp;" summer month"&amp;IF('BP4'!J25&gt;1,"s",)&amp;" (or "&amp;TEXT('BP4'!J25/3,"0%")&amp;" summer effort)",))))),"")),"")</f>
        <v/>
      </c>
      <c r="M17" s="224" t="str">
        <f>IF(SUM('Cumulative Budget'!H25:J25)&gt;0,(IF('BP1'!$K$5&gt;4,((IF('BP5'!H25&gt;0,CONCATENATE(IF('BP5'!H25&gt;0,TEXT('BP5'!H25,"0.00")&amp;" calendar month"&amp;IF('BP5'!H25&gt;1,"s",)&amp;" (or "&amp;TEXT('BP5'!H25/'BP5'!G25,"0%")&amp;" calendar effort)",)),CONCATENATE(IF('BP5'!I25&gt;0,TEXT('BP5'!I25,"0.00")&amp;" academic month"&amp;IF('BP5'!I25&gt;1,"s",)&amp;" (or "&amp;TEXT('BP5'!I25/9,"0%")&amp;" academic effort)",),IF(AND('BP5'!I25&gt;0,'BP5'!J25&gt;0)," and ",),IF('BP5'!J25&gt;0,TEXT('BP5'!J25,"0.00")&amp;" summer month"&amp;IF('BP5'!J25&gt;1,"s",)&amp;" (or "&amp;TEXT('BP5'!J25/3,"0%")&amp;" summer effort)",))))),"")),"")</f>
        <v/>
      </c>
      <c r="N17" s="224" t="str">
        <f>IF(AND('BP1'!M25&gt;0,'BP1'!$A$5&gt;0),TEXT('BP1'!M25,"0.00")&amp;" cost-shared month"&amp;IF('BP1'!M25&gt;1,"s",)&amp;" (or "&amp;TEXT('BP1'!M25/'BP1'!G25,"0%")&amp;" cost-shared effort)","")</f>
        <v/>
      </c>
      <c r="O17" s="224" t="str">
        <f>IF(AND('BP2'!M25&gt;0,'BP2'!$A$5&gt;0),TEXT('BP2'!M25,"0.00")&amp;" cost-shared month"&amp;IF('BP2'!M25&gt;1,"s",)&amp;" (or "&amp;TEXT('BP2'!M25/'BP2'!G25,"0%")&amp;" cost-shared effort)","")</f>
        <v/>
      </c>
      <c r="P17" s="224" t="str">
        <f>IF(AND('BP3'!M25&gt;0,'BP3'!$A$5&gt;0),TEXT('BP3'!M25,"0.00")&amp;" cost-shared month"&amp;IF('BP3'!M25&gt;1,"s",)&amp;" (or "&amp;TEXT('BP3'!M25/'BP3'!G25,"0%")&amp;" cost-shared effort)","")</f>
        <v/>
      </c>
      <c r="Q17" s="224" t="str">
        <f>IF(AND('BP4'!M25&gt;0,'BP4'!$A$5&gt;0),TEXT('BP4'!M25,"0.00")&amp;" cost-shared month"&amp;IF('BP4'!M25&gt;1,"s",)&amp;" (or "&amp;TEXT('BP4'!M25/'BP4'!G25,"0%")&amp;" cost-shared effort)","")</f>
        <v/>
      </c>
      <c r="R17" s="224" t="str">
        <f>IF(AND('BP5'!M25&gt;0,'BP5'!$A$5&gt;0),TEXT('BP5'!M25,"0.00")&amp;" cost-shared month"&amp;IF('BP5'!M25&gt;1,"s",)&amp;" (or "&amp;TEXT('BP5'!M25/'BP5'!G25,"0%")&amp;" cost-shared effort)","")</f>
        <v/>
      </c>
      <c r="S17" s="210" t="str">
        <f>IF(AND('BP1'!$K$5=2,I17&lt;&gt;J17),"Note: Effort changes in the outyears!","")&amp;IF(AND('BP1'!$K$5=3,OR(I17&lt;&gt;J17,I17&lt;&gt;K17,J17&lt;&gt;K17)),"Note: Effort changes in the outyears!","")&amp;IF(AND('BP1'!$K$5=4,OR(I17&lt;&gt;J17,I17&lt;&gt;K17,I17&lt;&gt;L17,J17&lt;&gt;K17,J17&lt;&gt;L17,K17&lt;&gt;L17)),"Note: Effort changes in the outyears!","")&amp;IF(AND('BP1'!$K$5=5,OR(I17&lt;&gt;J17,I17&lt;&gt;K17,I17&lt;&gt;L17,I17&lt;&gt;M17,J17&lt;&gt;K17,J17&lt;&gt;L17,J17&lt;&gt;M17,K17&lt;&gt;L17,K17&lt;&gt;M17,L17&lt;&gt;M17)),"Note: Effort changes in the outyears!","")</f>
        <v/>
      </c>
      <c r="T17" s="210" t="str">
        <f>IF(AND('BP1'!$K$5=2,N17&lt;&gt;O17),"Note: Effort changes in the outyears!","")&amp;IF(AND('BP1'!$K$5=3,OR(N17&lt;&gt;O17,N17&lt;&gt;P17,O17&lt;&gt;P17)),"Note: Effort changes in the outyears!","")&amp;IF(AND('BP1'!$K$5=4,OR(N17&lt;&gt;O17,N17&lt;&gt;P17,N17&lt;&gt;Q17,O17&lt;&gt;P17,O17&lt;&gt;Q17,P17&lt;&gt;Q17)),"Note: Effort changes in the outyears!","")&amp;IF(AND('BP1'!$K$5=5,OR(N17&lt;&gt;O17,N17&lt;&gt;P17,N17&lt;&gt;Q17,N17&lt;&gt;R17,O17&lt;&gt;P17,O17&lt;&gt;Q17,O17&lt;&gt;R17,P17&lt;&gt;Q17,P17&lt;&gt;R17,Q17&lt;&gt;R17)),"Note: Effort changes in the outyears!","")</f>
        <v/>
      </c>
      <c r="U17" s="561" t="str">
        <f t="shared" si="0"/>
        <v>Blank</v>
      </c>
    </row>
    <row r="18" spans="1:21" ht="60" customHeight="1">
      <c r="A18" s="880" t="str">
        <f>IF('Cumulative Budget'!H26+'Cumulative Budget'!I26+'Cumulative Budget'!J26&gt;0,IF(S18="Note: Effort changes in the outyears!",IF(I18&lt;&gt;"",I18&amp;" in Budget Period 1","")&amp;IF(AND(I18&lt;&gt;"",J18&lt;&gt;""),"; ","")&amp;IF(J18&lt;&gt;"",J18&amp;" in Budget Period 2","")&amp;IF(AND(OR(I18&lt;&gt;"",J18&lt;&gt;""),K18&lt;&gt;""),"; ","")&amp;IF(K18&lt;&gt;"",K18&amp;" in Budget Period 3","")&amp;IF(AND(OR(I18&lt;&gt;"",J18&lt;&gt;"",K18&lt;&gt;""),L18&lt;&gt;""),"; ","")&amp;IF(L18&lt;&gt;"",L18&amp;" in Budget Period 4","")&amp;IF(AND(OR(I18&lt;&gt;"",J18&lt;&gt;"",K18&lt;&gt;"",L18&lt;&gt;""),M18&lt;&gt;""),"; ","")&amp;IF(M18&lt;&gt;"",M18&amp;" in Budget Period 5","")&amp;" of "&amp;'BP1'!B26&amp;"'s salary is requested. ",I18&amp;" of "&amp;'BP1'!B26&amp;"'s salary is requested"&amp;IF('BP1'!$K$5&gt;1," each budget period for "&amp;'BP1'!$K$5&amp;" budget periods. ",". ")),"")&amp;IF('Cumulative Budget'!M26&gt;0,IF(T18="Note: Effort changes in the outyears!",IF(N18&lt;&gt;"",N18&amp;" in Budget Period 1","")&amp;IF(AND(N18&lt;&gt;"",O18&lt;&gt;""),"; ","")&amp;IF(O18&lt;&gt;"",O18&amp;" in Budget Period 2","")&amp;IF(AND(OR(N18&lt;&gt;"",O18&lt;&gt;""),P18&lt;&gt;""),"; ","")&amp;IF(P18&lt;&gt;"",P18&amp;" in Budget Period 3","")&amp;IF(AND(OR(N18&lt;&gt;"",O18&lt;&gt;"",P18&lt;&gt;""),Q18&lt;&gt;""),"; ","")&amp;IF(Q18&lt;&gt;"",Q18&amp;" in Budget Period 4","")&amp;IF(AND(OR(N18&lt;&gt;"",O18&lt;&gt;"",P18&lt;&gt;"",Q18&lt;&gt;""),R18&lt;&gt;""),"; ","")&amp;IF(R18&lt;&gt;"",R18&amp;" in Budget Period 5","")&amp;" of "&amp;'BP1'!B26&amp;"'s salary is requested. ",N18&amp;" of "&amp;'BP1'!B26&amp;"'s salary is requested"&amp;IF('BP1'!$K$5&gt;1," each budget period for "&amp;'BP1'!$K$5&amp;" budget periods. ",". ")),"")&amp;IF(OR('BP1'!G26=10,'BP1'!G26=11),'BP1'!B26&amp;" currently has a"&amp;IF('BP1'!G26=11,"n "," ")&amp;'BP1'!G26&amp;"-month appointment. ","")&amp;IF(AND('BP1'!$K$5&gt;1,'BP1'!$K$7&gt;0,OR('Cumulative Budget'!H26+'Cumulative Budget'!I26+'Cumulative Budget'!J26+'Cumulative Budget'!M26&gt;0)),"Salary is inflated by "&amp;('BP1'!$K$7*100)&amp;"% annually each September. ","")&amp;IF(ISBLANK('BP1'!Q26),"",'BP1'!Q26)</f>
        <v/>
      </c>
      <c r="B18" s="880"/>
      <c r="C18" s="880"/>
      <c r="D18" s="880"/>
      <c r="E18" s="880"/>
      <c r="F18" s="880"/>
      <c r="G18" s="880"/>
      <c r="H18" s="880"/>
      <c r="I18" s="224" t="str">
        <f>IF(SUM('Cumulative Budget'!H26:J26)&gt;0,(IF('BP1'!$K$5&gt;0,((IF('BP1'!H26&gt;0,CONCATENATE(IF('BP1'!H26&gt;0,TEXT('BP1'!H26,"0.00")&amp;" calendar month"&amp;IF('BP1'!H26&gt;1,"s",)&amp;" (or "&amp;TEXT('BP1'!H26/'BP1'!G26,"0%")&amp;" calendar effort)",)),CONCATENATE(IF('BP1'!I26&gt;0,TEXT('BP1'!I26,"0.00")&amp;" academic month"&amp;IF('BP1'!I26&gt;1,"s",)&amp;" (or "&amp;TEXT('BP1'!I26/9,"0%")&amp;" academic effort)",),IF(AND('BP1'!I26&gt;0,'BP1'!J26&gt;0)," and ",),IF('BP1'!J26&gt;0,TEXT('BP1'!J26,"0.00")&amp;" summer month"&amp;IF('BP1'!J26&gt;1,"s",)&amp;" (or "&amp;TEXT('BP1'!J26/3,"0%")&amp;" summer effort)",))))),"")),"")</f>
        <v/>
      </c>
      <c r="J18" s="224" t="str">
        <f>IF(SUM('Cumulative Budget'!H26:J26)&gt;0,(IF('BP1'!$K$5&gt;1,((IF('BP2'!H26&gt;0,CONCATENATE(IF('BP2'!H26&gt;0,TEXT('BP2'!H26,"0.00")&amp;" calendar month"&amp;IF('BP2'!H26&gt;1,"s",)&amp;" (or "&amp;TEXT('BP2'!H26/'BP2'!G26,"0%")&amp;" calendar effort)",)),CONCATENATE(IF('BP2'!I26&gt;0,TEXT('BP2'!I26,"0.00")&amp;" academic month"&amp;IF('BP2'!I26&gt;1,"s",)&amp;" (or "&amp;TEXT('BP2'!I26/9,"0%")&amp;" academic effort)",),IF(AND('BP2'!I26&gt;0,'BP2'!J26&gt;0)," and ",),IF('BP2'!J26&gt;0,TEXT('BP2'!J26,"0.00")&amp;" summer month"&amp;IF('BP2'!J26&gt;1,"s",)&amp;" (or "&amp;TEXT('BP2'!J26/3,"0%")&amp;" summer effort)",))))),"")),"")</f>
        <v/>
      </c>
      <c r="K18" s="224" t="str">
        <f>IF(SUM('Cumulative Budget'!H26:J26)&gt;0,(IF('BP1'!$K$5&gt;2,((IF('BP3'!H26&gt;0,CONCATENATE(IF('BP3'!H26&gt;0,TEXT('BP3'!H26,"0.00")&amp;" calendar month"&amp;IF('BP3'!H26&gt;1,"s",)&amp;" (or "&amp;TEXT('BP3'!H26/'BP3'!G26,"0%")&amp;" calendar effort)",)),CONCATENATE(IF('BP3'!I26&gt;0,TEXT('BP3'!I26,"0.00")&amp;" academic month"&amp;IF('BP3'!I26&gt;1,"s",)&amp;" (or "&amp;TEXT('BP3'!I26/9,"0%")&amp;" academic effort)",),IF(AND('BP3'!I26&gt;0,'BP3'!J26&gt;0)," and ",),IF('BP3'!J26&gt;0,TEXT('BP3'!J26,"0.00")&amp;" summer month"&amp;IF('BP3'!J26&gt;1,"s",)&amp;" (or "&amp;TEXT('BP3'!J26/3,"0%")&amp;" summer effort)",))))),"")),"")</f>
        <v/>
      </c>
      <c r="L18" s="224" t="str">
        <f>IF(SUM('Cumulative Budget'!H26:J26)&gt;0,(IF('BP1'!$K$5&gt;3,((IF('BP4'!H26&gt;0,CONCATENATE(IF('BP4'!H26&gt;0,TEXT('BP4'!H26,"0.00")&amp;" calendar month"&amp;IF('BP4'!H26&gt;1,"s",)&amp;" (or "&amp;TEXT('BP4'!H26/'BP4'!G26,"0%")&amp;" calendar effort)",)),CONCATENATE(IF('BP4'!I26&gt;0,TEXT('BP4'!I26,"0.00")&amp;" academic month"&amp;IF('BP4'!I26&gt;1,"s",)&amp;" (or "&amp;TEXT('BP4'!I26/9,"0%")&amp;" academic effort)",),IF(AND('BP4'!I26&gt;0,'BP4'!J26&gt;0)," and ",),IF('BP4'!J26&gt;0,TEXT('BP4'!J26,"0.00")&amp;" summer month"&amp;IF('BP4'!J26&gt;1,"s",)&amp;" (or "&amp;TEXT('BP4'!J26/3,"0%")&amp;" summer effort)",))))),"")),"")</f>
        <v/>
      </c>
      <c r="M18" s="224" t="str">
        <f>IF(SUM('Cumulative Budget'!H26:J26)&gt;0,(IF('BP1'!$K$5&gt;4,((IF('BP5'!H26&gt;0,CONCATENATE(IF('BP5'!H26&gt;0,TEXT('BP5'!H26,"0.00")&amp;" calendar month"&amp;IF('BP5'!H26&gt;1,"s",)&amp;" (or "&amp;TEXT('BP5'!H26/'BP5'!G26,"0%")&amp;" calendar effort)",)),CONCATENATE(IF('BP5'!I26&gt;0,TEXT('BP5'!I26,"0.00")&amp;" academic month"&amp;IF('BP5'!I26&gt;1,"s",)&amp;" (or "&amp;TEXT('BP5'!I26/9,"0%")&amp;" academic effort)",),IF(AND('BP5'!I26&gt;0,'BP5'!J26&gt;0)," and ",),IF('BP5'!J26&gt;0,TEXT('BP5'!J26,"0.00")&amp;" summer month"&amp;IF('BP5'!J26&gt;1,"s",)&amp;" (or "&amp;TEXT('BP5'!J26/3,"0%")&amp;" summer effort)",))))),"")),"")</f>
        <v/>
      </c>
      <c r="N18" s="224" t="str">
        <f>IF(AND('BP1'!M26&gt;0,'BP1'!$A$5&gt;0),TEXT('BP1'!M26,"0.00")&amp;" cost-shared month"&amp;IF('BP1'!M26&gt;1,"s",)&amp;" (or "&amp;TEXT('BP1'!M26/'BP1'!G26,"0%")&amp;" cost-shared effort)","")</f>
        <v/>
      </c>
      <c r="O18" s="224" t="str">
        <f>IF(AND('BP2'!M26&gt;0,'BP2'!$A$5&gt;0),TEXT('BP2'!M26,"0.00")&amp;" cost-shared month"&amp;IF('BP2'!M26&gt;1,"s",)&amp;" (or "&amp;TEXT('BP2'!M26/'BP2'!G26,"0%")&amp;" cost-shared effort)","")</f>
        <v/>
      </c>
      <c r="P18" s="224" t="str">
        <f>IF(AND('BP3'!M26&gt;0,'BP3'!$A$5&gt;0),TEXT('BP3'!M26,"0.00")&amp;" cost-shared month"&amp;IF('BP3'!M26&gt;1,"s",)&amp;" (or "&amp;TEXT('BP3'!M26/'BP3'!G26,"0%")&amp;" cost-shared effort)","")</f>
        <v/>
      </c>
      <c r="Q18" s="224" t="str">
        <f>IF(AND('BP4'!M26&gt;0,'BP4'!$A$5&gt;0),TEXT('BP4'!M26,"0.00")&amp;" cost-shared month"&amp;IF('BP4'!M26&gt;1,"s",)&amp;" (or "&amp;TEXT('BP4'!M26/'BP4'!G26,"0%")&amp;" cost-shared effort)","")</f>
        <v/>
      </c>
      <c r="R18" s="224" t="str">
        <f>IF(AND('BP5'!M26&gt;0,'BP5'!$A$5&gt;0),TEXT('BP5'!M26,"0.00")&amp;" cost-shared month"&amp;IF('BP5'!M26&gt;1,"s",)&amp;" (or "&amp;TEXT('BP5'!M26/'BP5'!G26,"0%")&amp;" cost-shared effort)","")</f>
        <v/>
      </c>
      <c r="S18" s="210" t="str">
        <f>IF(AND('BP1'!$K$5=2,I18&lt;&gt;J18),"Note: Effort changes in the outyears!","")&amp;IF(AND('BP1'!$K$5=3,OR(I18&lt;&gt;J18,I18&lt;&gt;K18,J18&lt;&gt;K18)),"Note: Effort changes in the outyears!","")&amp;IF(AND('BP1'!$K$5=4,OR(I18&lt;&gt;J18,I18&lt;&gt;K18,I18&lt;&gt;L18,J18&lt;&gt;K18,J18&lt;&gt;L18,K18&lt;&gt;L18)),"Note: Effort changes in the outyears!","")&amp;IF(AND('BP1'!$K$5=5,OR(I18&lt;&gt;J18,I18&lt;&gt;K18,I18&lt;&gt;L18,I18&lt;&gt;M18,J18&lt;&gt;K18,J18&lt;&gt;L18,J18&lt;&gt;M18,K18&lt;&gt;L18,K18&lt;&gt;M18,L18&lt;&gt;M18)),"Note: Effort changes in the outyears!","")</f>
        <v/>
      </c>
      <c r="T18" s="210" t="str">
        <f>IF(AND('BP1'!$K$5=2,N18&lt;&gt;O18),"Note: Effort changes in the outyears!","")&amp;IF(AND('BP1'!$K$5=3,OR(N18&lt;&gt;O18,N18&lt;&gt;P18,O18&lt;&gt;P18)),"Note: Effort changes in the outyears!","")&amp;IF(AND('BP1'!$K$5=4,OR(N18&lt;&gt;O18,N18&lt;&gt;P18,N18&lt;&gt;Q18,O18&lt;&gt;P18,O18&lt;&gt;Q18,P18&lt;&gt;Q18)),"Note: Effort changes in the outyears!","")&amp;IF(AND('BP1'!$K$5=5,OR(N18&lt;&gt;O18,N18&lt;&gt;P18,N18&lt;&gt;Q18,N18&lt;&gt;R18,O18&lt;&gt;P18,O18&lt;&gt;Q18,O18&lt;&gt;R18,P18&lt;&gt;Q18,P18&lt;&gt;R18,Q18&lt;&gt;R18)),"Note: Effort changes in the outyears!","")</f>
        <v/>
      </c>
      <c r="U18" s="561" t="str">
        <f t="shared" si="0"/>
        <v>Blank</v>
      </c>
    </row>
    <row r="19" spans="1:21" ht="60" customHeight="1">
      <c r="A19" s="880" t="str">
        <f>IF('Cumulative Budget'!H27+'Cumulative Budget'!I27+'Cumulative Budget'!J27&gt;0,IF(S19="Note: Effort changes in the outyears!",IF(I19&lt;&gt;"",I19&amp;" in Budget Period 1","")&amp;IF(AND(I19&lt;&gt;"",J19&lt;&gt;""),"; ","")&amp;IF(J19&lt;&gt;"",J19&amp;" in Budget Period 2","")&amp;IF(AND(OR(I19&lt;&gt;"",J19&lt;&gt;""),K19&lt;&gt;""),"; ","")&amp;IF(K19&lt;&gt;"",K19&amp;" in Budget Period 3","")&amp;IF(AND(OR(I19&lt;&gt;"",J19&lt;&gt;"",K19&lt;&gt;""),L19&lt;&gt;""),"; ","")&amp;IF(L19&lt;&gt;"",L19&amp;" in Budget Period 4","")&amp;IF(AND(OR(I19&lt;&gt;"",J19&lt;&gt;"",K19&lt;&gt;"",L19&lt;&gt;""),M19&lt;&gt;""),"; ","")&amp;IF(M19&lt;&gt;"",M19&amp;" in Budget Period 5","")&amp;" of "&amp;'BP1'!B27&amp;"'s salary is requested. ",I19&amp;" of "&amp;'BP1'!B27&amp;"'s salary is requested"&amp;IF('BP1'!$K$5&gt;1," each budget period for "&amp;'BP1'!$K$5&amp;" budget periods. ",". ")),"")&amp;IF('Cumulative Budget'!M27&gt;0,IF(T19="Note: Effort changes in the outyears!",IF(N19&lt;&gt;"",N19&amp;" in Budget Period 1","")&amp;IF(AND(N19&lt;&gt;"",O19&lt;&gt;""),"; ","")&amp;IF(O19&lt;&gt;"",O19&amp;" in Budget Period 2","")&amp;IF(AND(OR(N19&lt;&gt;"",O19&lt;&gt;""),P19&lt;&gt;""),"; ","")&amp;IF(P19&lt;&gt;"",P19&amp;" in Budget Period 3","")&amp;IF(AND(OR(N19&lt;&gt;"",O19&lt;&gt;"",P19&lt;&gt;""),Q19&lt;&gt;""),"; ","")&amp;IF(Q19&lt;&gt;"",Q19&amp;" in Budget Period 4","")&amp;IF(AND(OR(N19&lt;&gt;"",O19&lt;&gt;"",P19&lt;&gt;"",Q19&lt;&gt;""),R19&lt;&gt;""),"; ","")&amp;IF(R19&lt;&gt;"",R19&amp;" in Budget Period 5","")&amp;" of "&amp;'BP1'!B27&amp;"'s salary is requested. ",N19&amp;" of "&amp;'BP1'!B27&amp;"'s salary is requested"&amp;IF('BP1'!$K$5&gt;1," each budget period for "&amp;'BP1'!$K$5&amp;" budget periods. ",". ")),"")&amp;IF(OR('BP1'!G27=10,'BP1'!G27=11),'BP1'!B27&amp;" currently has a"&amp;IF('BP1'!G27=11,"n "," ")&amp;'BP1'!G27&amp;"-month appointment. ","")&amp;IF(AND('BP1'!$K$5&gt;1,'BP1'!$K$7&gt;0,OR('Cumulative Budget'!H27+'Cumulative Budget'!I27+'Cumulative Budget'!J27+'Cumulative Budget'!M27&gt;0)),"Salary is inflated by "&amp;('BP1'!$K$7*100)&amp;"% annually each September. ","")&amp;IF(ISBLANK('BP1'!Q27),"",'BP1'!Q27)</f>
        <v/>
      </c>
      <c r="B19" s="880"/>
      <c r="C19" s="880"/>
      <c r="D19" s="880"/>
      <c r="E19" s="880"/>
      <c r="F19" s="880"/>
      <c r="G19" s="880"/>
      <c r="H19" s="880"/>
      <c r="I19" s="224" t="str">
        <f>IF(SUM('Cumulative Budget'!H27:J27)&gt;0,(IF('BP1'!$K$5&gt;0,((IF('BP1'!H27&gt;0,CONCATENATE(IF('BP1'!H27&gt;0,TEXT('BP1'!H27,"0.00")&amp;" calendar month"&amp;IF('BP1'!H27&gt;1,"s",)&amp;" (or "&amp;TEXT('BP1'!H27/'BP1'!G27,"0%")&amp;" calendar effort)",)),CONCATENATE(IF('BP1'!I27&gt;0,TEXT('BP1'!I27,"0.00")&amp;" academic month"&amp;IF('BP1'!I27&gt;1,"s",)&amp;" (or "&amp;TEXT('BP1'!I27/9,"0%")&amp;" academic effort)",),IF(AND('BP1'!I27&gt;0,'BP1'!J27&gt;0)," and ",),IF('BP1'!J27&gt;0,TEXT('BP1'!J27,"0.00")&amp;" summer month"&amp;IF('BP1'!J27&gt;1,"s",)&amp;" (or "&amp;TEXT('BP1'!J27/3,"0%")&amp;" summer effort)",))))),"")),"")</f>
        <v/>
      </c>
      <c r="J19" s="224" t="str">
        <f>IF(SUM('Cumulative Budget'!H27:J27)&gt;0,(IF('BP1'!$K$5&gt;1,((IF('BP2'!H27&gt;0,CONCATENATE(IF('BP2'!H27&gt;0,TEXT('BP2'!H27,"0.00")&amp;" calendar month"&amp;IF('BP2'!H27&gt;1,"s",)&amp;" (or "&amp;TEXT('BP2'!H27/'BP2'!G27,"0%")&amp;" calendar effort)",)),CONCATENATE(IF('BP2'!I27&gt;0,TEXT('BP2'!I27,"0.00")&amp;" academic month"&amp;IF('BP2'!I27&gt;1,"s",)&amp;" (or "&amp;TEXT('BP2'!I27/9,"0%")&amp;" academic effort)",),IF(AND('BP2'!I27&gt;0,'BP2'!J27&gt;0)," and ",),IF('BP2'!J27&gt;0,TEXT('BP2'!J27,"0.00")&amp;" summer month"&amp;IF('BP2'!J27&gt;1,"s",)&amp;" (or "&amp;TEXT('BP2'!J27/3,"0%")&amp;" summer effort)",))))),"")),"")</f>
        <v/>
      </c>
      <c r="K19" s="224" t="str">
        <f>IF(SUM('Cumulative Budget'!H27:J27)&gt;0,(IF('BP1'!$K$5&gt;2,((IF('BP3'!H27&gt;0,CONCATENATE(IF('BP3'!H27&gt;0,TEXT('BP3'!H27,"0.00")&amp;" calendar month"&amp;IF('BP3'!H27&gt;1,"s",)&amp;" (or "&amp;TEXT('BP3'!H27/'BP3'!G27,"0%")&amp;" calendar effort)",)),CONCATENATE(IF('BP3'!I27&gt;0,TEXT('BP3'!I27,"0.00")&amp;" academic month"&amp;IF('BP3'!I27&gt;1,"s",)&amp;" (or "&amp;TEXT('BP3'!I27/9,"0%")&amp;" academic effort)",),IF(AND('BP3'!I27&gt;0,'BP3'!J27&gt;0)," and ",),IF('BP3'!J27&gt;0,TEXT('BP3'!J27,"0.00")&amp;" summer month"&amp;IF('BP3'!J27&gt;1,"s",)&amp;" (or "&amp;TEXT('BP3'!J27/3,"0%")&amp;" summer effort)",))))),"")),"")</f>
        <v/>
      </c>
      <c r="L19" s="224" t="str">
        <f>IF(SUM('Cumulative Budget'!H27:J27)&gt;0,(IF('BP1'!$K$5&gt;3,((IF('BP4'!H27&gt;0,CONCATENATE(IF('BP4'!H27&gt;0,TEXT('BP4'!H27,"0.00")&amp;" calendar month"&amp;IF('BP4'!H27&gt;1,"s",)&amp;" (or "&amp;TEXT('BP4'!H27/'BP4'!G27,"0%")&amp;" calendar effort)",)),CONCATENATE(IF('BP4'!I27&gt;0,TEXT('BP4'!I27,"0.00")&amp;" academic month"&amp;IF('BP4'!I27&gt;1,"s",)&amp;" (or "&amp;TEXT('BP4'!I27/9,"0%")&amp;" academic effort)",),IF(AND('BP4'!I27&gt;0,'BP4'!J27&gt;0)," and ",),IF('BP4'!J27&gt;0,TEXT('BP4'!J27,"0.00")&amp;" summer month"&amp;IF('BP4'!J27&gt;1,"s",)&amp;" (or "&amp;TEXT('BP4'!J27/3,"0%")&amp;" summer effort)",))))),"")),"")</f>
        <v/>
      </c>
      <c r="M19" s="224" t="str">
        <f>IF(SUM('Cumulative Budget'!H27:J27)&gt;0,(IF('BP1'!$K$5&gt;4,((IF('BP5'!H27&gt;0,CONCATENATE(IF('BP5'!H27&gt;0,TEXT('BP5'!H27,"0.00")&amp;" calendar month"&amp;IF('BP5'!H27&gt;1,"s",)&amp;" (or "&amp;TEXT('BP5'!H27/'BP5'!G27,"0%")&amp;" calendar effort)",)),CONCATENATE(IF('BP5'!I27&gt;0,TEXT('BP5'!I27,"0.00")&amp;" academic month"&amp;IF('BP5'!I27&gt;1,"s",)&amp;" (or "&amp;TEXT('BP5'!I27/9,"0%")&amp;" academic effort)",),IF(AND('BP5'!I27&gt;0,'BP5'!J27&gt;0)," and ",),IF('BP5'!J27&gt;0,TEXT('BP5'!J27,"0.00")&amp;" summer month"&amp;IF('BP5'!J27&gt;1,"s",)&amp;" (or "&amp;TEXT('BP5'!J27/3,"0%")&amp;" summer effort)",))))),"")),"")</f>
        <v/>
      </c>
      <c r="N19" s="224" t="str">
        <f>IF(AND('BP1'!M27&gt;0,'BP1'!$A$5&gt;0),TEXT('BP1'!M27,"0.00")&amp;" cost-shared month"&amp;IF('BP1'!M27&gt;1,"s",)&amp;" (or "&amp;TEXT('BP1'!M27/'BP1'!G27,"0%")&amp;" cost-shared effort)","")</f>
        <v/>
      </c>
      <c r="O19" s="224" t="str">
        <f>IF(AND('BP2'!M27&gt;0,'BP2'!$A$5&gt;0),TEXT('BP2'!M27,"0.00")&amp;" cost-shared month"&amp;IF('BP2'!M27&gt;1,"s",)&amp;" (or "&amp;TEXT('BP2'!M27/'BP2'!G27,"0%")&amp;" cost-shared effort)","")</f>
        <v/>
      </c>
      <c r="P19" s="224" t="str">
        <f>IF(AND('BP3'!M27&gt;0,'BP3'!$A$5&gt;0),TEXT('BP3'!M27,"0.00")&amp;" cost-shared month"&amp;IF('BP3'!M27&gt;1,"s",)&amp;" (or "&amp;TEXT('BP3'!M27/'BP3'!G27,"0%")&amp;" cost-shared effort)","")</f>
        <v/>
      </c>
      <c r="Q19" s="224" t="str">
        <f>IF(AND('BP4'!M27&gt;0,'BP4'!$A$5&gt;0),TEXT('BP4'!M27,"0.00")&amp;" cost-shared month"&amp;IF('BP4'!M27&gt;1,"s",)&amp;" (or "&amp;TEXT('BP4'!M27/'BP4'!G27,"0%")&amp;" cost-shared effort)","")</f>
        <v/>
      </c>
      <c r="R19" s="224" t="str">
        <f>IF(AND('BP5'!M27&gt;0,'BP5'!$A$5&gt;0),TEXT('BP5'!M27,"0.00")&amp;" cost-shared month"&amp;IF('BP5'!M27&gt;1,"s",)&amp;" (or "&amp;TEXT('BP5'!M27/'BP5'!G27,"0%")&amp;" cost-shared effort)","")</f>
        <v/>
      </c>
      <c r="S19" s="210" t="str">
        <f>IF(AND('BP1'!$K$5=2,I19&lt;&gt;J19),"Note: Effort changes in the outyears!","")&amp;IF(AND('BP1'!$K$5=3,OR(I19&lt;&gt;J19,I19&lt;&gt;K19,J19&lt;&gt;K19)),"Note: Effort changes in the outyears!","")&amp;IF(AND('BP1'!$K$5=4,OR(I19&lt;&gt;J19,I19&lt;&gt;K19,I19&lt;&gt;L19,J19&lt;&gt;K19,J19&lt;&gt;L19,K19&lt;&gt;L19)),"Note: Effort changes in the outyears!","")&amp;IF(AND('BP1'!$K$5=5,OR(I19&lt;&gt;J19,I19&lt;&gt;K19,I19&lt;&gt;L19,I19&lt;&gt;M19,J19&lt;&gt;K19,J19&lt;&gt;L19,J19&lt;&gt;M19,K19&lt;&gt;L19,K19&lt;&gt;M19,L19&lt;&gt;M19)),"Note: Effort changes in the outyears!","")</f>
        <v/>
      </c>
      <c r="T19" s="210" t="str">
        <f>IF(AND('BP1'!$K$5=2,N19&lt;&gt;O19),"Note: Effort changes in the outyears!","")&amp;IF(AND('BP1'!$K$5=3,OR(N19&lt;&gt;O19,N19&lt;&gt;P19,O19&lt;&gt;P19)),"Note: Effort changes in the outyears!","")&amp;IF(AND('BP1'!$K$5=4,OR(N19&lt;&gt;O19,N19&lt;&gt;P19,N19&lt;&gt;Q19,O19&lt;&gt;P19,O19&lt;&gt;Q19,P19&lt;&gt;Q19)),"Note: Effort changes in the outyears!","")&amp;IF(AND('BP1'!$K$5=5,OR(N19&lt;&gt;O19,N19&lt;&gt;P19,N19&lt;&gt;Q19,N19&lt;&gt;R19,O19&lt;&gt;P19,O19&lt;&gt;Q19,O19&lt;&gt;R19,P19&lt;&gt;Q19,P19&lt;&gt;R19,Q19&lt;&gt;R19)),"Note: Effort changes in the outyears!","")</f>
        <v/>
      </c>
      <c r="U19" s="561" t="str">
        <f t="shared" si="0"/>
        <v>Blank</v>
      </c>
    </row>
    <row r="20" spans="1:21" ht="60" customHeight="1">
      <c r="A20" s="880" t="str">
        <f>IF('Cumulative Budget'!H28+'Cumulative Budget'!I28+'Cumulative Budget'!J28&gt;0,IF(S20="Note: Effort changes in the outyears!",IF(I20&lt;&gt;"",I20&amp;" in Budget Period 1","")&amp;IF(AND(I20&lt;&gt;"",J20&lt;&gt;""),"; ","")&amp;IF(J20&lt;&gt;"",J20&amp;" in Budget Period 2","")&amp;IF(AND(OR(I20&lt;&gt;"",J20&lt;&gt;""),K20&lt;&gt;""),"; ","")&amp;IF(K20&lt;&gt;"",K20&amp;" in Budget Period 3","")&amp;IF(AND(OR(I20&lt;&gt;"",J20&lt;&gt;"",K20&lt;&gt;""),L20&lt;&gt;""),"; ","")&amp;IF(L20&lt;&gt;"",L20&amp;" in Budget Period 4","")&amp;IF(AND(OR(I20&lt;&gt;"",J20&lt;&gt;"",K20&lt;&gt;"",L20&lt;&gt;""),M20&lt;&gt;""),"; ","")&amp;IF(M20&lt;&gt;"",M20&amp;" in Budget Period 5","")&amp;" of "&amp;'BP1'!B28&amp;"'s salary is requested. ",I20&amp;" of "&amp;'BP1'!B28&amp;"'s salary is requested"&amp;IF('BP1'!$K$5&gt;1," each budget period for "&amp;'BP1'!$K$5&amp;" budget periods. ",". ")),"")&amp;IF('Cumulative Budget'!M28&gt;0,IF(T20="Note: Effort changes in the outyears!",IF(N20&lt;&gt;"",N20&amp;" in Budget Period 1","")&amp;IF(AND(N20&lt;&gt;"",O20&lt;&gt;""),"; ","")&amp;IF(O20&lt;&gt;"",O20&amp;" in Budget Period 2","")&amp;IF(AND(OR(N20&lt;&gt;"",O20&lt;&gt;""),P20&lt;&gt;""),"; ","")&amp;IF(P20&lt;&gt;"",P20&amp;" in Budget Period 3","")&amp;IF(AND(OR(N20&lt;&gt;"",O20&lt;&gt;"",P20&lt;&gt;""),Q20&lt;&gt;""),"; ","")&amp;IF(Q20&lt;&gt;"",Q20&amp;" in Budget Period 4","")&amp;IF(AND(OR(N20&lt;&gt;"",O20&lt;&gt;"",P20&lt;&gt;"",Q20&lt;&gt;""),R20&lt;&gt;""),"; ","")&amp;IF(R20&lt;&gt;"",R20&amp;" in Budget Period 5","")&amp;" of "&amp;'BP1'!B28&amp;"'s salary is requested. ",N20&amp;" of "&amp;'BP1'!B28&amp;"'s salary is requested"&amp;IF('BP1'!$K$5&gt;1," each budget period for "&amp;'BP1'!$K$5&amp;" budget periods. ",". ")),"")&amp;IF(OR('BP1'!G28=10,'BP1'!G28=11),'BP1'!B28&amp;" currently has a"&amp;IF('BP1'!G28=11,"n "," ")&amp;'BP1'!G28&amp;"-month appointment. ","")&amp;IF(AND('BP1'!$K$5&gt;1,'BP1'!$K$7&gt;0,OR('Cumulative Budget'!H28+'Cumulative Budget'!I28+'Cumulative Budget'!J28+'Cumulative Budget'!M28&gt;0)),"Salary is inflated by "&amp;('BP1'!$K$7*100)&amp;"% annually each September. ","")&amp;IF(ISBLANK('BP1'!Q28),"",'BP1'!Q28)</f>
        <v/>
      </c>
      <c r="B20" s="880"/>
      <c r="C20" s="880"/>
      <c r="D20" s="880"/>
      <c r="E20" s="880"/>
      <c r="F20" s="880"/>
      <c r="G20" s="880"/>
      <c r="H20" s="880"/>
      <c r="I20" s="224" t="str">
        <f>IF(SUM('Cumulative Budget'!H28:J28)&gt;0,(IF('BP1'!$K$5&gt;0,((IF('BP1'!H28&gt;0,CONCATENATE(IF('BP1'!H28&gt;0,TEXT('BP1'!H28,"0.00")&amp;" calendar month"&amp;IF('BP1'!H28&gt;1,"s",)&amp;" (or "&amp;TEXT('BP1'!H28/'BP1'!G28,"0%")&amp;" calendar effort)",)),CONCATENATE(IF('BP1'!I28&gt;0,TEXT('BP1'!I28,"0.00")&amp;" academic month"&amp;IF('BP1'!I28&gt;1,"s",)&amp;" (or "&amp;TEXT('BP1'!I28/9,"0%")&amp;" academic effort)",),IF(AND('BP1'!I28&gt;0,'BP1'!J28&gt;0)," and ",),IF('BP1'!J28&gt;0,TEXT('BP1'!J28,"0.00")&amp;" summer month"&amp;IF('BP1'!J28&gt;1,"s",)&amp;" (or "&amp;TEXT('BP1'!J28/3,"0%")&amp;" summer effort)",))))),"")),"")</f>
        <v/>
      </c>
      <c r="J20" s="224" t="str">
        <f>IF(SUM('Cumulative Budget'!H28:J28)&gt;0,(IF('BP1'!$K$5&gt;1,((IF('BP2'!H28&gt;0,CONCATENATE(IF('BP2'!H28&gt;0,TEXT('BP2'!H28,"0.00")&amp;" calendar month"&amp;IF('BP2'!H28&gt;1,"s",)&amp;" (or "&amp;TEXT('BP2'!H28/'BP2'!G28,"0%")&amp;" calendar effort)",)),CONCATENATE(IF('BP2'!I28&gt;0,TEXT('BP2'!I28,"0.00")&amp;" academic month"&amp;IF('BP2'!I28&gt;1,"s",)&amp;" (or "&amp;TEXT('BP2'!I28/9,"0%")&amp;" academic effort)",),IF(AND('BP2'!I28&gt;0,'BP2'!J28&gt;0)," and ",),IF('BP2'!J28&gt;0,TEXT('BP2'!J28,"0.00")&amp;" summer month"&amp;IF('BP2'!J28&gt;1,"s",)&amp;" (or "&amp;TEXT('BP2'!J28/3,"0%")&amp;" summer effort)",))))),"")),"")</f>
        <v/>
      </c>
      <c r="K20" s="224" t="str">
        <f>IF(SUM('Cumulative Budget'!H28:J28)&gt;0,(IF('BP1'!$K$5&gt;2,((IF('BP3'!H28&gt;0,CONCATENATE(IF('BP3'!H28&gt;0,TEXT('BP3'!H28,"0.00")&amp;" calendar month"&amp;IF('BP3'!H28&gt;1,"s",)&amp;" (or "&amp;TEXT('BP3'!H28/'BP3'!G28,"0%")&amp;" calendar effort)",)),CONCATENATE(IF('BP3'!I28&gt;0,TEXT('BP3'!I28,"0.00")&amp;" academic month"&amp;IF('BP3'!I28&gt;1,"s",)&amp;" (or "&amp;TEXT('BP3'!I28/9,"0%")&amp;" academic effort)",),IF(AND('BP3'!I28&gt;0,'BP3'!J28&gt;0)," and ",),IF('BP3'!J28&gt;0,TEXT('BP3'!J28,"0.00")&amp;" summer month"&amp;IF('BP3'!J28&gt;1,"s",)&amp;" (or "&amp;TEXT('BP3'!J28/3,"0%")&amp;" summer effort)",))))),"")),"")</f>
        <v/>
      </c>
      <c r="L20" s="224" t="str">
        <f>IF(SUM('Cumulative Budget'!H28:J28)&gt;0,(IF('BP1'!$K$5&gt;3,((IF('BP4'!H28&gt;0,CONCATENATE(IF('BP4'!H28&gt;0,TEXT('BP4'!H28,"0.00")&amp;" calendar month"&amp;IF('BP4'!H28&gt;1,"s",)&amp;" (or "&amp;TEXT('BP4'!H28/'BP4'!G28,"0%")&amp;" calendar effort)",)),CONCATENATE(IF('BP4'!I28&gt;0,TEXT('BP4'!I28,"0.00")&amp;" academic month"&amp;IF('BP4'!I28&gt;1,"s",)&amp;" (or "&amp;TEXT('BP4'!I28/9,"0%")&amp;" academic effort)",),IF(AND('BP4'!I28&gt;0,'BP4'!J28&gt;0)," and ",),IF('BP4'!J28&gt;0,TEXT('BP4'!J28,"0.00")&amp;" summer month"&amp;IF('BP4'!J28&gt;1,"s",)&amp;" (or "&amp;TEXT('BP4'!J28/3,"0%")&amp;" summer effort)",))))),"")),"")</f>
        <v/>
      </c>
      <c r="M20" s="224" t="str">
        <f>IF(SUM('Cumulative Budget'!H28:J28)&gt;0,(IF('BP1'!$K$5&gt;4,((IF('BP5'!H28&gt;0,CONCATENATE(IF('BP5'!H28&gt;0,TEXT('BP5'!H28,"0.00")&amp;" calendar month"&amp;IF('BP5'!H28&gt;1,"s",)&amp;" (or "&amp;TEXT('BP5'!H28/'BP5'!G28,"0%")&amp;" calendar effort)",)),CONCATENATE(IF('BP5'!I28&gt;0,TEXT('BP5'!I28,"0.00")&amp;" academic month"&amp;IF('BP5'!I28&gt;1,"s",)&amp;" (or "&amp;TEXT('BP5'!I28/9,"0%")&amp;" academic effort)",),IF(AND('BP5'!I28&gt;0,'BP5'!J28&gt;0)," and ",),IF('BP5'!J28&gt;0,TEXT('BP5'!J28,"0.00")&amp;" summer month"&amp;IF('BP5'!J28&gt;1,"s",)&amp;" (or "&amp;TEXT('BP5'!J28/3,"0%")&amp;" summer effort)",))))),"")),"")</f>
        <v/>
      </c>
      <c r="N20" s="224" t="str">
        <f>IF(AND('BP1'!M28&gt;0,'BP1'!$A$5&gt;0),TEXT('BP1'!M28,"0.00")&amp;" cost-shared month"&amp;IF('BP1'!M28&gt;1,"s",)&amp;" (or "&amp;TEXT('BP1'!M28/'BP1'!G28,"0%")&amp;" cost-shared effort)","")</f>
        <v/>
      </c>
      <c r="O20" s="224" t="str">
        <f>IF(AND('BP2'!M28&gt;0,'BP2'!$A$5&gt;0),TEXT('BP2'!M28,"0.00")&amp;" cost-shared month"&amp;IF('BP2'!M28&gt;1,"s",)&amp;" (or "&amp;TEXT('BP2'!M28/'BP2'!G28,"0%")&amp;" cost-shared effort)","")</f>
        <v/>
      </c>
      <c r="P20" s="224" t="str">
        <f>IF(AND('BP3'!M28&gt;0,'BP3'!$A$5&gt;0),TEXT('BP3'!M28,"0.00")&amp;" cost-shared month"&amp;IF('BP3'!M28&gt;1,"s",)&amp;" (or "&amp;TEXT('BP3'!M28/'BP3'!G28,"0%")&amp;" cost-shared effort)","")</f>
        <v/>
      </c>
      <c r="Q20" s="224" t="str">
        <f>IF(AND('BP4'!M28&gt;0,'BP4'!$A$5&gt;0),TEXT('BP4'!M28,"0.00")&amp;" cost-shared month"&amp;IF('BP4'!M28&gt;1,"s",)&amp;" (or "&amp;TEXT('BP4'!M28/'BP4'!G28,"0%")&amp;" cost-shared effort)","")</f>
        <v/>
      </c>
      <c r="R20" s="224" t="str">
        <f>IF(AND('BP5'!M28&gt;0,'BP5'!$A$5&gt;0),TEXT('BP5'!M28,"0.00")&amp;" cost-shared month"&amp;IF('BP5'!M28&gt;1,"s",)&amp;" (or "&amp;TEXT('BP5'!M28/'BP5'!G28,"0%")&amp;" cost-shared effort)","")</f>
        <v/>
      </c>
      <c r="S20" s="210" t="str">
        <f>IF(AND('BP1'!$K$5=2,I20&lt;&gt;J20),"Note: Effort changes in the outyears!","")&amp;IF(AND('BP1'!$K$5=3,OR(I20&lt;&gt;J20,I20&lt;&gt;K20,J20&lt;&gt;K20)),"Note: Effort changes in the outyears!","")&amp;IF(AND('BP1'!$K$5=4,OR(I20&lt;&gt;J20,I20&lt;&gt;K20,I20&lt;&gt;L20,J20&lt;&gt;K20,J20&lt;&gt;L20,K20&lt;&gt;L20)),"Note: Effort changes in the outyears!","")&amp;IF(AND('BP1'!$K$5=5,OR(I20&lt;&gt;J20,I20&lt;&gt;K20,I20&lt;&gt;L20,I20&lt;&gt;M20,J20&lt;&gt;K20,J20&lt;&gt;L20,J20&lt;&gt;M20,K20&lt;&gt;L20,K20&lt;&gt;M20,L20&lt;&gt;M20)),"Note: Effort changes in the outyears!","")</f>
        <v/>
      </c>
      <c r="T20" s="210" t="str">
        <f>IF(AND('BP1'!$K$5=2,N20&lt;&gt;O20),"Note: Effort changes in the outyears!","")&amp;IF(AND('BP1'!$K$5=3,OR(N20&lt;&gt;O20,N20&lt;&gt;P20,O20&lt;&gt;P20)),"Note: Effort changes in the outyears!","")&amp;IF(AND('BP1'!$K$5=4,OR(N20&lt;&gt;O20,N20&lt;&gt;P20,N20&lt;&gt;Q20,O20&lt;&gt;P20,O20&lt;&gt;Q20,P20&lt;&gt;Q20)),"Note: Effort changes in the outyears!","")&amp;IF(AND('BP1'!$K$5=5,OR(N20&lt;&gt;O20,N20&lt;&gt;P20,N20&lt;&gt;Q20,N20&lt;&gt;R20,O20&lt;&gt;P20,O20&lt;&gt;Q20,O20&lt;&gt;R20,P20&lt;&gt;Q20,P20&lt;&gt;R20,Q20&lt;&gt;R20)),"Note: Effort changes in the outyears!","")</f>
        <v/>
      </c>
      <c r="U20" s="561" t="str">
        <f t="shared" si="0"/>
        <v>Blank</v>
      </c>
    </row>
    <row r="21" spans="1:21" ht="60" customHeight="1">
      <c r="A21" s="880" t="str">
        <f>IF('Cumulative Budget'!H29+'Cumulative Budget'!I29+'Cumulative Budget'!J29&gt;0,IF(S21="Note: Effort changes in the outyears!",IF(I21&lt;&gt;"",I21&amp;" in Budget Period 1","")&amp;IF(AND(I21&lt;&gt;"",J21&lt;&gt;""),"; ","")&amp;IF(J21&lt;&gt;"",J21&amp;" in Budget Period 2","")&amp;IF(AND(OR(I21&lt;&gt;"",J21&lt;&gt;""),K21&lt;&gt;""),"; ","")&amp;IF(K21&lt;&gt;"",K21&amp;" in Budget Period 3","")&amp;IF(AND(OR(I21&lt;&gt;"",J21&lt;&gt;"",K21&lt;&gt;""),L21&lt;&gt;""),"; ","")&amp;IF(L21&lt;&gt;"",L21&amp;" in Budget Period 4","")&amp;IF(AND(OR(I21&lt;&gt;"",J21&lt;&gt;"",K21&lt;&gt;"",L21&lt;&gt;""),M21&lt;&gt;""),"; ","")&amp;IF(M21&lt;&gt;"",M21&amp;" in Budget Period 5","")&amp;" of "&amp;'BP1'!B29&amp;"'s salary is requested. ",I21&amp;" of "&amp;'BP1'!B29&amp;"'s salary is requested"&amp;IF('BP1'!$K$5&gt;1," each budget period for "&amp;'BP1'!$K$5&amp;" budget periods. ",". ")),"")&amp;IF('Cumulative Budget'!M29&gt;0,IF(T21="Note: Effort changes in the outyears!",IF(N21&lt;&gt;"",N21&amp;" in Budget Period 1","")&amp;IF(AND(N21&lt;&gt;"",O21&lt;&gt;""),"; ","")&amp;IF(O21&lt;&gt;"",O21&amp;" in Budget Period 2","")&amp;IF(AND(OR(N21&lt;&gt;"",O21&lt;&gt;""),P21&lt;&gt;""),"; ","")&amp;IF(P21&lt;&gt;"",P21&amp;" in Budget Period 3","")&amp;IF(AND(OR(N21&lt;&gt;"",O21&lt;&gt;"",P21&lt;&gt;""),Q21&lt;&gt;""),"; ","")&amp;IF(Q21&lt;&gt;"",Q21&amp;" in Budget Period 4","")&amp;IF(AND(OR(N21&lt;&gt;"",O21&lt;&gt;"",P21&lt;&gt;"",Q21&lt;&gt;""),R21&lt;&gt;""),"; ","")&amp;IF(R21&lt;&gt;"",R21&amp;" in Budget Period 5","")&amp;" of "&amp;'BP1'!B29&amp;"'s salary is requested. ",N21&amp;" of "&amp;'BP1'!B29&amp;"'s salary is requested"&amp;IF('BP1'!$K$5&gt;1," each budget period for "&amp;'BP1'!$K$5&amp;" budget periods. ",". ")),"")&amp;IF(OR('BP1'!G29=10,'BP1'!G29=11),'BP1'!B29&amp;" currently has a"&amp;IF('BP1'!G29=11,"n "," ")&amp;'BP1'!G29&amp;"-month appointment. ","")&amp;IF(AND('BP1'!$K$5&gt;1,'BP1'!$K$7&gt;0,OR('Cumulative Budget'!H29+'Cumulative Budget'!I29+'Cumulative Budget'!J29+'Cumulative Budget'!M29&gt;0)),"Salary is inflated by "&amp;('BP1'!$K$7*100)&amp;"% annually each September. ","")&amp;IF(ISBLANK('BP1'!Q29),"",'BP1'!Q29)</f>
        <v/>
      </c>
      <c r="B21" s="880"/>
      <c r="C21" s="880"/>
      <c r="D21" s="880"/>
      <c r="E21" s="880"/>
      <c r="F21" s="880"/>
      <c r="G21" s="880"/>
      <c r="H21" s="880"/>
      <c r="I21" s="224" t="str">
        <f>IF(SUM('Cumulative Budget'!H29:J29)&gt;0,(IF('BP1'!$K$5&gt;0,((IF('BP1'!H29&gt;0,CONCATENATE(IF('BP1'!H29&gt;0,TEXT('BP1'!H29,"0.00")&amp;" calendar month"&amp;IF('BP1'!H29&gt;1,"s",)&amp;" (or "&amp;TEXT('BP1'!H29/'BP1'!G29,"0%")&amp;" calendar effort)",)),CONCATENATE(IF('BP1'!I29&gt;0,TEXT('BP1'!I29,"0.00")&amp;" academic month"&amp;IF('BP1'!I29&gt;1,"s",)&amp;" (or "&amp;TEXT('BP1'!I29/9,"0%")&amp;" academic effort)",),IF(AND('BP1'!I29&gt;0,'BP1'!J29&gt;0)," and ",),IF('BP1'!J29&gt;0,TEXT('BP1'!J29,"0.00")&amp;" summer month"&amp;IF('BP1'!J29&gt;1,"s",)&amp;" (or "&amp;TEXT('BP1'!J29/3,"0%")&amp;" summer effort)",))))),"")),"")</f>
        <v/>
      </c>
      <c r="J21" s="224" t="str">
        <f>IF(SUM('Cumulative Budget'!H29:J29)&gt;0,(IF('BP1'!$K$5&gt;1,((IF('BP2'!H29&gt;0,CONCATENATE(IF('BP2'!H29&gt;0,TEXT('BP2'!H29,"0.00")&amp;" calendar month"&amp;IF('BP2'!H29&gt;1,"s",)&amp;" (or "&amp;TEXT('BP2'!H29/'BP2'!G29,"0%")&amp;" calendar effort)",)),CONCATENATE(IF('BP2'!I29&gt;0,TEXT('BP2'!I29,"0.00")&amp;" academic month"&amp;IF('BP2'!I29&gt;1,"s",)&amp;" (or "&amp;TEXT('BP2'!I29/9,"0%")&amp;" academic effort)",),IF(AND('BP2'!I29&gt;0,'BP2'!J29&gt;0)," and ",),IF('BP2'!J29&gt;0,TEXT('BP2'!J29,"0.00")&amp;" summer month"&amp;IF('BP2'!J29&gt;1,"s",)&amp;" (or "&amp;TEXT('BP2'!J29/3,"0%")&amp;" summer effort)",))))),"")),"")</f>
        <v/>
      </c>
      <c r="K21" s="224" t="str">
        <f>IF(SUM('Cumulative Budget'!H29:J29)&gt;0,(IF('BP1'!$K$5&gt;2,((IF('BP3'!H29&gt;0,CONCATENATE(IF('BP3'!H29&gt;0,TEXT('BP3'!H29,"0.00")&amp;" calendar month"&amp;IF('BP3'!H29&gt;1,"s",)&amp;" (or "&amp;TEXT('BP3'!H29/'BP3'!G29,"0%")&amp;" calendar effort)",)),CONCATENATE(IF('BP3'!I29&gt;0,TEXT('BP3'!I29,"0.00")&amp;" academic month"&amp;IF('BP3'!I29&gt;1,"s",)&amp;" (or "&amp;TEXT('BP3'!I29/9,"0%")&amp;" academic effort)",),IF(AND('BP3'!I29&gt;0,'BP3'!J29&gt;0)," and ",),IF('BP3'!J29&gt;0,TEXT('BP3'!J29,"0.00")&amp;" summer month"&amp;IF('BP3'!J29&gt;1,"s",)&amp;" (or "&amp;TEXT('BP3'!J29/3,"0%")&amp;" summer effort)",))))),"")),"")</f>
        <v/>
      </c>
      <c r="L21" s="224" t="str">
        <f>IF(SUM('Cumulative Budget'!H29:J29)&gt;0,(IF('BP1'!$K$5&gt;3,((IF('BP4'!H29&gt;0,CONCATENATE(IF('BP4'!H29&gt;0,TEXT('BP4'!H29,"0.00")&amp;" calendar month"&amp;IF('BP4'!H29&gt;1,"s",)&amp;" (or "&amp;TEXT('BP4'!H29/'BP4'!G29,"0%")&amp;" calendar effort)",)),CONCATENATE(IF('BP4'!I29&gt;0,TEXT('BP4'!I29,"0.00")&amp;" academic month"&amp;IF('BP4'!I29&gt;1,"s",)&amp;" (or "&amp;TEXT('BP4'!I29/9,"0%")&amp;" academic effort)",),IF(AND('BP4'!I29&gt;0,'BP4'!J29&gt;0)," and ",),IF('BP4'!J29&gt;0,TEXT('BP4'!J29,"0.00")&amp;" summer month"&amp;IF('BP4'!J29&gt;1,"s",)&amp;" (or "&amp;TEXT('BP4'!J29/3,"0%")&amp;" summer effort)",))))),"")),"")</f>
        <v/>
      </c>
      <c r="M21" s="224" t="str">
        <f>IF(SUM('Cumulative Budget'!H29:J29)&gt;0,(IF('BP1'!$K$5&gt;4,((IF('BP5'!H29&gt;0,CONCATENATE(IF('BP5'!H29&gt;0,TEXT('BP5'!H29,"0.00")&amp;" calendar month"&amp;IF('BP5'!H29&gt;1,"s",)&amp;" (or "&amp;TEXT('BP5'!H29/'BP5'!G29,"0%")&amp;" calendar effort)",)),CONCATENATE(IF('BP5'!I29&gt;0,TEXT('BP5'!I29,"0.00")&amp;" academic month"&amp;IF('BP5'!I29&gt;1,"s",)&amp;" (or "&amp;TEXT('BP5'!I29/9,"0%")&amp;" academic effort)",),IF(AND('BP5'!I29&gt;0,'BP5'!J29&gt;0)," and ",),IF('BP5'!J29&gt;0,TEXT('BP5'!J29,"0.00")&amp;" summer month"&amp;IF('BP5'!J29&gt;1,"s",)&amp;" (or "&amp;TEXT('BP5'!J29/3,"0%")&amp;" summer effort)",))))),"")),"")</f>
        <v/>
      </c>
      <c r="N21" s="224" t="str">
        <f>IF(AND('BP1'!M29&gt;0,'BP1'!$A$5&gt;0),TEXT('BP1'!M29,"0.00")&amp;" cost-shared month"&amp;IF('BP1'!M29&gt;1,"s",)&amp;" (or "&amp;TEXT('BP1'!M29/'BP1'!G29,"0%")&amp;" cost-shared effort)","")</f>
        <v/>
      </c>
      <c r="O21" s="224" t="str">
        <f>IF(AND('BP2'!M29&gt;0,'BP2'!$A$5&gt;0),TEXT('BP2'!M29,"0.00")&amp;" cost-shared month"&amp;IF('BP2'!M29&gt;1,"s",)&amp;" (or "&amp;TEXT('BP2'!M29/'BP2'!G29,"0%")&amp;" cost-shared effort)","")</f>
        <v/>
      </c>
      <c r="P21" s="224" t="str">
        <f>IF(AND('BP3'!M29&gt;0,'BP3'!$A$5&gt;0),TEXT('BP3'!M29,"0.00")&amp;" cost-shared month"&amp;IF('BP3'!M29&gt;1,"s",)&amp;" (or "&amp;TEXT('BP3'!M29/'BP3'!G29,"0%")&amp;" cost-shared effort)","")</f>
        <v/>
      </c>
      <c r="Q21" s="224" t="str">
        <f>IF(AND('BP4'!M29&gt;0,'BP4'!$A$5&gt;0),TEXT('BP4'!M29,"0.00")&amp;" cost-shared month"&amp;IF('BP4'!M29&gt;1,"s",)&amp;" (or "&amp;TEXT('BP4'!M29/'BP4'!G29,"0%")&amp;" cost-shared effort)","")</f>
        <v/>
      </c>
      <c r="R21" s="224" t="str">
        <f>IF(AND('BP5'!M29&gt;0,'BP5'!$A$5&gt;0),TEXT('BP5'!M29,"0.00")&amp;" cost-shared month"&amp;IF('BP5'!M29&gt;1,"s",)&amp;" (or "&amp;TEXT('BP5'!M29/'BP5'!G29,"0%")&amp;" cost-shared effort)","")</f>
        <v/>
      </c>
      <c r="S21" s="210" t="str">
        <f>IF(AND('BP1'!$K$5=2,I21&lt;&gt;J21),"Note: Effort changes in the outyears!","")&amp;IF(AND('BP1'!$K$5=3,OR(I21&lt;&gt;J21,I21&lt;&gt;K21,J21&lt;&gt;K21)),"Note: Effort changes in the outyears!","")&amp;IF(AND('BP1'!$K$5=4,OR(I21&lt;&gt;J21,I21&lt;&gt;K21,I21&lt;&gt;L21,J21&lt;&gt;K21,J21&lt;&gt;L21,K21&lt;&gt;L21)),"Note: Effort changes in the outyears!","")&amp;IF(AND('BP1'!$K$5=5,OR(I21&lt;&gt;J21,I21&lt;&gt;K21,I21&lt;&gt;L21,I21&lt;&gt;M21,J21&lt;&gt;K21,J21&lt;&gt;L21,J21&lt;&gt;M21,K21&lt;&gt;L21,K21&lt;&gt;M21,L21&lt;&gt;M21)),"Note: Effort changes in the outyears!","")</f>
        <v/>
      </c>
      <c r="T21" s="210" t="str">
        <f>IF(AND('BP1'!$K$5=2,N21&lt;&gt;O21),"Note: Effort changes in the outyears!","")&amp;IF(AND('BP1'!$K$5=3,OR(N21&lt;&gt;O21,N21&lt;&gt;P21,O21&lt;&gt;P21)),"Note: Effort changes in the outyears!","")&amp;IF(AND('BP1'!$K$5=4,OR(N21&lt;&gt;O21,N21&lt;&gt;P21,N21&lt;&gt;Q21,O21&lt;&gt;P21,O21&lt;&gt;Q21,P21&lt;&gt;Q21)),"Note: Effort changes in the outyears!","")&amp;IF(AND('BP1'!$K$5=5,OR(N21&lt;&gt;O21,N21&lt;&gt;P21,N21&lt;&gt;Q21,N21&lt;&gt;R21,O21&lt;&gt;P21,O21&lt;&gt;Q21,O21&lt;&gt;R21,P21&lt;&gt;Q21,P21&lt;&gt;R21,Q21&lt;&gt;R21)),"Note: Effort changes in the outyears!","")</f>
        <v/>
      </c>
      <c r="U21" s="561" t="str">
        <f t="shared" si="0"/>
        <v>Blank</v>
      </c>
    </row>
    <row r="22" spans="1:21" ht="15" customHeight="1">
      <c r="A22" s="881"/>
      <c r="B22" s="881"/>
      <c r="C22" s="881"/>
      <c r="D22" s="881"/>
      <c r="E22" s="881"/>
      <c r="F22" s="881"/>
      <c r="G22" s="881"/>
      <c r="H22" s="881"/>
      <c r="I22" s="224"/>
      <c r="J22" s="224"/>
      <c r="K22" s="224"/>
      <c r="L22" s="224"/>
      <c r="M22" s="224"/>
      <c r="N22" s="224"/>
      <c r="O22" s="224"/>
      <c r="P22" s="224"/>
      <c r="Q22" s="224"/>
      <c r="R22" s="224"/>
      <c r="S22" s="211"/>
      <c r="T22" s="211"/>
      <c r="U22" s="561" t="str">
        <f ca="1">IF(A6="","Blank","Populate")</f>
        <v>Blank</v>
      </c>
    </row>
    <row r="23" spans="1:21" ht="15" customHeight="1">
      <c r="A23" s="882" t="str">
        <f ca="1">IF(OR(SUM('Cumulative Budget'!K32:K40)&gt;0,SUM('Cumulative Budget'!N32:N40)&gt;0),"Other Personnel:","")</f>
        <v/>
      </c>
      <c r="B23" s="882"/>
      <c r="C23" s="882"/>
      <c r="D23" s="882"/>
      <c r="E23" s="882"/>
      <c r="F23" s="882"/>
      <c r="G23" s="882"/>
      <c r="H23" s="882"/>
      <c r="I23" s="224"/>
      <c r="J23" s="224"/>
      <c r="K23" s="224"/>
      <c r="L23" s="224"/>
      <c r="M23" s="224"/>
      <c r="N23" s="224"/>
      <c r="O23" s="224"/>
      <c r="P23" s="224"/>
      <c r="Q23" s="224"/>
      <c r="R23" s="224"/>
      <c r="S23" s="212"/>
      <c r="T23" s="212"/>
      <c r="U23" s="561" t="str">
        <f t="shared" ref="U23:U32" ca="1" si="1">IF(A23="","Blank","Populate")</f>
        <v>Blank</v>
      </c>
    </row>
    <row r="24" spans="1:21" ht="60" customHeight="1">
      <c r="A24" s="880" t="str">
        <f ca="1">IF('Cumulative Budget'!H32+'Cumulative Budget'!I32+'Cumulative Budget'!J32&gt;0,IF(S24="Note: Effort changes in the outyears!",IF(I24&lt;&gt;"",I24&amp;" in Budget Period 1","")&amp;IF(AND(I24&lt;&gt;"",J24&lt;&gt;""),"; ","")&amp;IF(J24&lt;&gt;"",J24&amp;" in Budget Period 2","")&amp;IF(AND(OR(I24&lt;&gt;"",J24&lt;&gt;""),K24&lt;&gt;""),"; ","")&amp;IF(K24&lt;&gt;"",K24&amp;" in Budget Period 3","")&amp;IF(AND(OR(I24&lt;&gt;"",J24&lt;&gt;"",K24&lt;&gt;""),L24&lt;&gt;""),"; ","")&amp;IF(L24&lt;&gt;"",L24&amp;" in Budget Period 4","")&amp;IF(AND(OR(I24&lt;&gt;"",J24&lt;&gt;"",K24&lt;&gt;"",L24&lt;&gt;""),M24&lt;&gt;""),"; ","")&amp;IF(M24&lt;&gt;"",M24&amp;" in Budget Period 5","")&amp;" for "&amp;ROUNDUP('BP1'!H32/'BP1'!G32,0)&amp;" "&amp;'BP1'!D32&amp;" is requested. ",I24&amp;" for "&amp;ROUNDUP('BP1'!H32/'BP1'!G32,0)&amp;" "&amp;'BP1'!D32&amp;" is requested"&amp;IF('BP1'!$K$5&gt;1," each budget period for "&amp;'BP1'!$K$5&amp;" budget periods. ",". ")),"")&amp;IF('Cumulative Budget'!N32&gt;0,IF(T24="Note: Effort changes in the outyears!",IF(N24&lt;&gt;"",N24&amp;" in Budget Period 1","")&amp;IF(AND(N24&lt;&gt;"",O24&lt;&gt;""),"; ","")&amp;IF(O24&lt;&gt;"",O24&amp;" in Budget Period 2","")&amp;IF(AND(OR(N24&lt;&gt;"",O24&lt;&gt;""),P24&lt;&gt;""),"; ","")&amp;IF(P24&lt;&gt;"",P24&amp;" in Budget Period 3","")&amp;IF(AND(OR(N24&lt;&gt;"",O24&lt;&gt;"",P24&lt;&gt;""),Q24&lt;&gt;""),"; ","")&amp;IF(Q24&lt;&gt;"",Q24&amp;" in Budget Period 4","")&amp;IF(AND(OR(N24&lt;&gt;"",O24&lt;&gt;"",P24&lt;&gt;"",Q24&lt;&gt;""),R24&lt;&gt;""),"; ","")&amp;IF(R24&lt;&gt;"",R24&amp;" in Budget Period 5","")&amp;" for "&amp;ROUNDUP('BP1'!M32/'BP1'!G32,0)&amp;" "&amp;'BP1'!D32&amp;" is requested. ",N24&amp;" for "&amp;ROUNDUP('BP1'!M32/'BP1'!G32,0)&amp;" "&amp;'BP1'!D32&amp;" is requested"&amp;IF('BP1'!$K$5&gt;1," each budget period for "&amp;'BP1'!$K$5&amp;" budget periods. ",". ")),"")&amp;IF(AND('BP1'!$K$5&gt;1,'BP1'!$K$7&gt;0,OR('Cumulative Budget'!H32+'Cumulative Budget'!M32&gt;0)),"Salary is inflated by "&amp;('BP1'!$K$7*100)&amp;"% annually each September. ","")&amp;IF(ISBLANK('BP1'!Q32),"",'BP1'!Q32)</f>
        <v/>
      </c>
      <c r="B24" s="880"/>
      <c r="C24" s="880"/>
      <c r="D24" s="880"/>
      <c r="E24" s="880"/>
      <c r="F24" s="880"/>
      <c r="G24" s="880"/>
      <c r="H24" s="880"/>
      <c r="I24" s="224" t="str">
        <f>IF(SUM('Cumulative Budget'!H32:J32)&gt;0,(IF('BP1'!$K$5&gt;0,((IF('BP1'!H32&gt;0,CONCATENATE(IF('BP1'!H32&gt;0,TEXT('BP1'!H32,"0.00")&amp;" calendar month"&amp;IF('BP1'!H32&gt;1,"s",)&amp;" (or "&amp;TEXT('BP1'!H32/'BP1'!G32/ROUNDUP('BP1'!H32/'BP1'!G32,0),"0%")&amp;" calendar effort"&amp;IF('BP1'!H32&gt;12," each","")&amp;")",)),CONCATENATE(IF('BP1'!I32&gt;0,TEXT('BP1'!I32,"0.00")&amp;" academic month"&amp;IF('BP1'!I32&gt;1,"s",)&amp;" (or "&amp;TEXT('BP1'!I32/9,"0%")&amp;" academic effort)",),IF(AND('BP1'!I32&gt;0,'BP1'!J32&gt;0)," and ",),IF('BP1'!J32&gt;0,TEXT('BP1'!J32,"0.00")&amp;" summer month"&amp;IF('BP1'!J32&gt;1,"s",)&amp;" (or "&amp;TEXT('BP1'!J32/3,"0%")&amp;" summer effort)",))))),"")),"")</f>
        <v/>
      </c>
      <c r="J24" s="224" t="str">
        <f>IF(SUM('Cumulative Budget'!H32:J32)&gt;0,(IF('BP1'!$K$5&gt;1,((IF('BP2'!H32&gt;0,CONCATENATE(IF('BP2'!H32&gt;0,TEXT('BP2'!H32,"0.00")&amp;" calendar month"&amp;IF('BP2'!H32&gt;1,"s",)&amp;" (or "&amp;TEXT('BP2'!H32/'BP2'!G32/ROUNDUP('BP2'!H32/'BP2'!G32,0),"0%")&amp;" calendar effort"&amp;IF('BP2'!H32&gt;12," each","")&amp;")",)),CONCATENATE(IF('BP2'!I32&gt;0,TEXT('BP2'!I32,"0.00")&amp;" academic month"&amp;IF('BP2'!I32&gt;1,"s",)&amp;" (or "&amp;TEXT('BP2'!I32/9,"0%")&amp;" academic effort)",),IF(AND('BP2'!I32&gt;0,'BP2'!J32&gt;0)," and ",),IF('BP2'!J32&gt;0,TEXT('BP2'!J32,"0.00")&amp;" summer month"&amp;IF('BP2'!J32&gt;1,"s",)&amp;" (or "&amp;TEXT('BP2'!J32/3,"0%")&amp;" summer effort)",))))),"")),"")</f>
        <v/>
      </c>
      <c r="K24" s="224" t="str">
        <f>IF(SUM('Cumulative Budget'!H32:J32)&gt;0,(IF('BP1'!$K$5&gt;2,((IF('BP3'!H32&gt;0,CONCATENATE(IF('BP3'!H32&gt;0,TEXT('BP3'!H32,"0.00")&amp;" calendar month"&amp;IF('BP3'!H32&gt;1,"s",)&amp;" (or "&amp;TEXT('BP3'!H32/'BP3'!G32/ROUNDUP('BP3'!H32/'BP3'!G32,0),"0%")&amp;" calendar effort"&amp;IF('BP3'!H32&gt;12," each","")&amp;")",)),CONCATENATE(IF('BP3'!I32&gt;0,TEXT('BP3'!I32,"0.00")&amp;" academic month"&amp;IF('BP3'!I32&gt;1,"s",)&amp;" (or "&amp;TEXT('BP3'!I32/9,"0%")&amp;" academic effort)",),IF(AND('BP3'!I32&gt;0,'BP3'!J32&gt;0)," and ",),IF('BP3'!J32&gt;0,TEXT('BP3'!J32,"0.00")&amp;" summer month"&amp;IF('BP3'!J32&gt;1,"s",)&amp;" (or "&amp;TEXT('BP3'!J32/3,"0%")&amp;" summer effort)",))))),"")),"")</f>
        <v/>
      </c>
      <c r="L24" s="224" t="str">
        <f>IF(SUM('Cumulative Budget'!H32:J32)&gt;0,(IF('BP1'!$K$5&gt;3,((IF('BP4'!H32&gt;0,CONCATENATE(IF('BP4'!H32&gt;0,TEXT('BP4'!H32,"0.00")&amp;" calendar month"&amp;IF('BP4'!H32&gt;1,"s",)&amp;" (or "&amp;TEXT('BP4'!H32/'BP4'!G32/ROUNDUP('BP4'!H32/'BP4'!G32,0),"0%")&amp;" calendar effort"&amp;IF('BP4'!H32&gt;12," each","")&amp;")",)),CONCATENATE(IF('BP4'!I32&gt;0,TEXT('BP4'!I32,"0.00")&amp;" academic month"&amp;IF('BP4'!I32&gt;1,"s",)&amp;" (or "&amp;TEXT('BP4'!I32/9,"0%")&amp;" academic effort)",),IF(AND('BP4'!I32&gt;0,'BP4'!J32&gt;0)," and ",),IF('BP4'!J32&gt;0,TEXT('BP4'!J32,"0.00")&amp;" summer month"&amp;IF('BP4'!J32&gt;1,"s",)&amp;" (or "&amp;TEXT('BP4'!J32/3,"0%")&amp;" summer effort)",))))),"")),"")</f>
        <v/>
      </c>
      <c r="M24" s="224" t="str">
        <f>IF(SUM('Cumulative Budget'!H32:J32)&gt;0,(IF('BP1'!$K$5&gt;4,((IF('BP5'!H32&gt;0,CONCATENATE(IF('BP5'!H32&gt;0,TEXT('BP5'!H32,"0.00")&amp;" calendar month"&amp;IF('BP5'!H32&gt;1,"s",)&amp;" (or "&amp;TEXT('BP5'!H32/'BP5'!G32/ROUNDUP('BP5'!H32/'BP5'!G32,0),"0%")&amp;" calendar effort"&amp;IF('BP5'!H32&gt;12," each","")&amp;")",)),CONCATENATE(IF('BP5'!I32&gt;0,TEXT('BP5'!I32,"0.00")&amp;" academic month"&amp;IF('BP5'!I32&gt;1,"s",)&amp;" (or "&amp;TEXT('BP5'!I32/9,"0%")&amp;" academic effort)",),IF(AND('BP5'!I32&gt;0,'BP5'!J32&gt;0)," and ",),IF('BP5'!J32&gt;0,TEXT('BP5'!J32,"0.00")&amp;" summer month"&amp;IF('BP5'!J32&gt;1,"s",)&amp;" (or "&amp;TEXT('BP5'!J32/3,"0%")&amp;" summer effort)",))))),"")),"")</f>
        <v/>
      </c>
      <c r="N24" s="224" t="str">
        <f>IF(AND('BP1'!M32&gt;0,'BP1'!$A$5&gt;0),TEXT('BP1'!M32,"0.00")&amp;" cost-shared month"&amp;IF('BP1'!M32&gt;1,"s",)&amp;" (or "&amp;TEXT('BP1'!M32/'BP1'!G32/ROUNDUP('BP1'!M32/'BP1'!G32,0),"0%")&amp;" cost-shared effort"&amp;IF('BP1'!M32&gt;12," each","")&amp;")","")</f>
        <v/>
      </c>
      <c r="O24" s="224" t="str">
        <f>IF(AND('BP2'!M32&gt;0,'BP2'!$A$5&gt;0),TEXT('BP2'!M32,"0.00")&amp;" cost-shared month"&amp;IF('BP2'!M32&gt;1,"s",)&amp;" (or "&amp;TEXT('BP2'!M32/'BP2'!G32/ROUNDUP('BP2'!M32/'BP2'!G32,0),"0%")&amp;" cost-shared effort"&amp;IF('BP2'!M32&gt;12," each","")&amp;")","")</f>
        <v/>
      </c>
      <c r="P24" s="224" t="str">
        <f>IF(AND('BP3'!M32&gt;0,'BP3'!$A$5&gt;0),TEXT('BP3'!M32,"0.00")&amp;" cost-shared month"&amp;IF('BP3'!M32&gt;1,"s",)&amp;" (or "&amp;TEXT('BP3'!M32/'BP3'!G32/ROUNDUP('BP3'!M32/'BP3'!G32,0),"0%")&amp;" cost-shared effort"&amp;IF('BP3'!M32&gt;12," each","")&amp;")","")</f>
        <v/>
      </c>
      <c r="Q24" s="224" t="str">
        <f>IF(AND('BP4'!M32&gt;0,'BP4'!$A$5&gt;0),TEXT('BP4'!M32,"0.00")&amp;" cost-shared month"&amp;IF('BP4'!M32&gt;1,"s",)&amp;" (or "&amp;TEXT('BP4'!M32/'BP4'!G32/ROUNDUP('BP4'!M32/'BP4'!G32,0),"0%")&amp;" cost-shared effort"&amp;IF('BP4'!M32&gt;12," each","")&amp;")","")</f>
        <v/>
      </c>
      <c r="R24" s="224" t="str">
        <f>IF(AND('BP5'!M32&gt;0,'BP5'!$A$5&gt;0),TEXT('BP5'!M32,"0.00")&amp;" cost-shared month"&amp;IF('BP5'!M32&gt;1,"s",)&amp;" (or "&amp;TEXT('BP5'!M32/'BP5'!G32/ROUNDUP('BP5'!M32/'BP5'!G32,0),"0%")&amp;" cost-shared effort"&amp;IF('BP5'!M32&gt;12," each","")&amp;")","")</f>
        <v/>
      </c>
      <c r="S24" s="210" t="str">
        <f>IF(AND('BP1'!$K$5=2,I24&lt;&gt;J24),"Note: Effort changes in the outyears!","")&amp;IF(AND('BP1'!$K$5=3,OR(I24&lt;&gt;J24,I24&lt;&gt;K24,J24&lt;&gt;K24)),"Note: Effort changes in the outyears!","")&amp;IF(AND('BP1'!$K$5=4,OR(I24&lt;&gt;J24,I24&lt;&gt;K24,I24&lt;&gt;L24,J24&lt;&gt;K24,J24&lt;&gt;L24,K24&lt;&gt;L24)),"Note: Effort changes in the outyears!","")&amp;IF(AND('BP1'!$K$5=5,OR(I24&lt;&gt;J24,I24&lt;&gt;K24,I24&lt;&gt;L24,I24&lt;&gt;M24,J24&lt;&gt;K24,J24&lt;&gt;L24,J24&lt;&gt;M24,K24&lt;&gt;L24,K24&lt;&gt;M24,L24&lt;&gt;M24)),"Note: Effort changes in the outyears!","")</f>
        <v/>
      </c>
      <c r="T24" s="210" t="str">
        <f>IF(AND('BP1'!$K$5=2,N24&lt;&gt;O24),"Note: Effort changes in the outyears!","")&amp;IF(AND('BP1'!$K$5=3,OR(N24&lt;&gt;O24,N24&lt;&gt;P24,O24&lt;&gt;P24)),"Note: Effort changes in the outyears!","")&amp;IF(AND('BP1'!$K$5=4,OR(N24&lt;&gt;O24,N24&lt;&gt;P24,N24&lt;&gt;Q24,O24&lt;&gt;P24,O24&lt;&gt;Q24,P24&lt;&gt;Q24)),"Note: Effort changes in the outyears!","")&amp;IF(AND('BP1'!$K$5=5,OR(N24&lt;&gt;O24,N24&lt;&gt;P24,N24&lt;&gt;Q24,N24&lt;&gt;R24,O24&lt;&gt;P24,O24&lt;&gt;Q24,O24&lt;&gt;R24,P24&lt;&gt;Q24,P24&lt;&gt;R24,Q24&lt;&gt;R24)),"Note: Effort changes in the outyears!","")</f>
        <v/>
      </c>
      <c r="U24" s="561" t="str">
        <f t="shared" ca="1" si="1"/>
        <v>Blank</v>
      </c>
    </row>
    <row r="25" spans="1:21" ht="60" customHeight="1">
      <c r="A25" s="880" t="str">
        <f ca="1">IF('Cumulative Budget'!H33+'Cumulative Budget'!I33+'Cumulative Budget'!J33&gt;0,IF(S25="Note: Effort changes in the outyears!",IF(I25&lt;&gt;"",I25&amp;" in Budget Period 1","")&amp;IF(AND(I25&lt;&gt;"",J25&lt;&gt;""),"; ","")&amp;IF(J25&lt;&gt;"",J25&amp;" in Budget Period 2","")&amp;IF(AND(OR(I25&lt;&gt;"",J25&lt;&gt;""),K25&lt;&gt;""),"; ","")&amp;IF(K25&lt;&gt;"",K25&amp;" in Budget Period 3","")&amp;IF(AND(OR(I25&lt;&gt;"",J25&lt;&gt;"",K25&lt;&gt;""),L25&lt;&gt;""),"; ","")&amp;IF(L25&lt;&gt;"",L25&amp;" in Budget Period 4","")&amp;IF(AND(OR(I25&lt;&gt;"",J25&lt;&gt;"",K25&lt;&gt;"",L25&lt;&gt;""),M25&lt;&gt;""),"; ","")&amp;IF(M25&lt;&gt;"",M25&amp;" in Budget Period 5","")&amp;" for "&amp;ROUNDUP('BP1'!H33/'BP1'!G33,0)&amp;" "&amp;'BP1'!D33&amp;" is requested. ",I25&amp;" for "&amp;ROUNDUP('BP1'!H33/'BP1'!G33,0)&amp;" "&amp;'BP1'!D33&amp;" is requested"&amp;IF('BP1'!$K$5&gt;1," each budget period for "&amp;'BP1'!$K$5&amp;" budget periods. ",". ")),"")&amp;IF('Cumulative Budget'!N33&gt;0,IF(T25="Note: Effort changes in the outyears!",IF(N25&lt;&gt;"",N25&amp;" in Budget Period 1","")&amp;IF(AND(N25&lt;&gt;"",O25&lt;&gt;""),"; ","")&amp;IF(O25&lt;&gt;"",O25&amp;" in Budget Period 2","")&amp;IF(AND(OR(N25&lt;&gt;"",O25&lt;&gt;""),P25&lt;&gt;""),"; ","")&amp;IF(P25&lt;&gt;"",P25&amp;" in Budget Period 3","")&amp;IF(AND(OR(N25&lt;&gt;"",O25&lt;&gt;"",P25&lt;&gt;""),Q25&lt;&gt;""),"; ","")&amp;IF(Q25&lt;&gt;"",Q25&amp;" in Budget Period 4","")&amp;IF(AND(OR(N25&lt;&gt;"",O25&lt;&gt;"",P25&lt;&gt;"",Q25&lt;&gt;""),R25&lt;&gt;""),"; ","")&amp;IF(R25&lt;&gt;"",R25&amp;" in Budget Period 5","")&amp;" for "&amp;ROUNDUP('BP1'!M33/'BP1'!G33,0)&amp;" "&amp;'BP1'!D33&amp;" is requested. ",N25&amp;" for "&amp;ROUNDUP('BP1'!M33/'BP1'!G33,0)&amp;" "&amp;'BP1'!D33&amp;" is requested"&amp;IF('BP1'!$K$5&gt;1," each budget period for "&amp;'BP1'!$K$5&amp;" budget periods. ",". ")),"")&amp;IF(AND('BP1'!$K$5&gt;1,'BP1'!$K$7&gt;0,OR('Cumulative Budget'!H33+'Cumulative Budget'!M33&gt;0)),"Salary is inflated by "&amp;('BP1'!$K$7*100)&amp;"% annually each September. ","")&amp;IF(ISBLANK('BP1'!Q33),"",'BP1'!Q33)</f>
        <v/>
      </c>
      <c r="B25" s="880"/>
      <c r="C25" s="880"/>
      <c r="D25" s="880"/>
      <c r="E25" s="880"/>
      <c r="F25" s="880"/>
      <c r="G25" s="880"/>
      <c r="H25" s="880"/>
      <c r="I25" s="224" t="str">
        <f>IF(SUM('Cumulative Budget'!H33:J33)&gt;0,(IF('BP1'!$K$5&gt;0,((IF('BP1'!H33&gt;0,CONCATENATE(IF('BP1'!H33&gt;0,TEXT('BP1'!H33,"0.00")&amp;" calendar month"&amp;IF('BP1'!H33&gt;1,"s",)&amp;" (or "&amp;TEXT('BP1'!H33/'BP1'!G33/ROUNDUP('BP1'!H33/'BP1'!G33,0),"0%")&amp;" calendar effort"&amp;IF('BP1'!H33&gt;12," each","")&amp;")",)),CONCATENATE(IF('BP1'!I33&gt;0,TEXT('BP1'!I33,"0.00")&amp;" academic month"&amp;IF('BP1'!I33&gt;1,"s",)&amp;" (or "&amp;TEXT('BP1'!I33/9,"0%")&amp;" academic effort)",),IF(AND('BP1'!I33&gt;0,'BP1'!J33&gt;0)," and ",),IF('BP1'!J33&gt;0,TEXT('BP1'!J33,"0.00")&amp;" summer month"&amp;IF('BP1'!J33&gt;1,"s",)&amp;" (or "&amp;TEXT('BP1'!J33/3,"0%")&amp;" summer effort)",))))),"")),"")</f>
        <v/>
      </c>
      <c r="J25" s="224" t="str">
        <f>IF(SUM('Cumulative Budget'!H33:J33)&gt;0,(IF('BP1'!$K$5&gt;1,((IF('BP2'!H33&gt;0,CONCATENATE(IF('BP2'!H33&gt;0,TEXT('BP2'!H33,"0.00")&amp;" calendar month"&amp;IF('BP2'!H33&gt;1,"s",)&amp;" (or "&amp;TEXT('BP2'!H33/'BP2'!G33/ROUNDUP('BP2'!H33/'BP2'!G33,0),"0%")&amp;" calendar effort"&amp;IF('BP2'!H33&gt;12," each","")&amp;")",)),CONCATENATE(IF('BP2'!I33&gt;0,TEXT('BP2'!I33,"0.00")&amp;" academic month"&amp;IF('BP2'!I33&gt;1,"s",)&amp;" (or "&amp;TEXT('BP2'!I33/9,"0%")&amp;" academic effort)",),IF(AND('BP2'!I33&gt;0,'BP2'!J33&gt;0)," and ",),IF('BP2'!J33&gt;0,TEXT('BP2'!J33,"0.00")&amp;" summer month"&amp;IF('BP2'!J33&gt;1,"s",)&amp;" (or "&amp;TEXT('BP2'!J33/3,"0%")&amp;" summer effort)",))))),"")),"")</f>
        <v/>
      </c>
      <c r="K25" s="224" t="str">
        <f>IF(SUM('Cumulative Budget'!H33:J33)&gt;0,(IF('BP1'!$K$5&gt;2,((IF('BP3'!H33&gt;0,CONCATENATE(IF('BP3'!H33&gt;0,TEXT('BP3'!H33,"0.00")&amp;" calendar month"&amp;IF('BP3'!H33&gt;1,"s",)&amp;" (or "&amp;TEXT('BP3'!H33/'BP3'!G33/ROUNDUP('BP3'!H33/'BP3'!G33,0),"0%")&amp;" calendar effort"&amp;IF('BP3'!H33&gt;12," each","")&amp;")",)),CONCATENATE(IF('BP3'!I33&gt;0,TEXT('BP3'!I33,"0.00")&amp;" academic month"&amp;IF('BP3'!I33&gt;1,"s",)&amp;" (or "&amp;TEXT('BP3'!I33/9,"0%")&amp;" academic effort)",),IF(AND('BP3'!I33&gt;0,'BP3'!J33&gt;0)," and ",),IF('BP3'!J33&gt;0,TEXT('BP3'!J33,"0.00")&amp;" summer month"&amp;IF('BP3'!J33&gt;1,"s",)&amp;" (or "&amp;TEXT('BP3'!J33/3,"0%")&amp;" summer effort)",))))),"")),"")</f>
        <v/>
      </c>
      <c r="L25" s="224" t="str">
        <f>IF(SUM('Cumulative Budget'!H33:J33)&gt;0,(IF('BP1'!$K$5&gt;3,((IF('BP4'!H33&gt;0,CONCATENATE(IF('BP4'!H33&gt;0,TEXT('BP4'!H33,"0.00")&amp;" calendar month"&amp;IF('BP4'!H33&gt;1,"s",)&amp;" (or "&amp;TEXT('BP4'!H33/'BP4'!G33/ROUNDUP('BP4'!H33/'BP4'!G33,0),"0%")&amp;" calendar effort"&amp;IF('BP4'!H33&gt;12," each","")&amp;")",)),CONCATENATE(IF('BP4'!I33&gt;0,TEXT('BP4'!I33,"0.00")&amp;" academic month"&amp;IF('BP4'!I33&gt;1,"s",)&amp;" (or "&amp;TEXT('BP4'!I33/9,"0%")&amp;" academic effort)",),IF(AND('BP4'!I33&gt;0,'BP4'!J33&gt;0)," and ",),IF('BP4'!J33&gt;0,TEXT('BP4'!J33,"0.00")&amp;" summer month"&amp;IF('BP4'!J33&gt;1,"s",)&amp;" (or "&amp;TEXT('BP4'!J33/3,"0%")&amp;" summer effort)",))))),"")),"")</f>
        <v/>
      </c>
      <c r="M25" s="224" t="str">
        <f>IF(SUM('Cumulative Budget'!H33:J33)&gt;0,(IF('BP1'!$K$5&gt;4,((IF('BP5'!H33&gt;0,CONCATENATE(IF('BP5'!H33&gt;0,TEXT('BP5'!H33,"0.00")&amp;" calendar month"&amp;IF('BP5'!H33&gt;1,"s",)&amp;" (or "&amp;TEXT('BP5'!H33/'BP5'!G33/ROUNDUP('BP5'!H33/'BP5'!G33,0),"0%")&amp;" calendar effort"&amp;IF('BP5'!H33&gt;12," each","")&amp;")",)),CONCATENATE(IF('BP5'!I33&gt;0,TEXT('BP5'!I33,"0.00")&amp;" academic month"&amp;IF('BP5'!I33&gt;1,"s",)&amp;" (or "&amp;TEXT('BP5'!I33/9,"0%")&amp;" academic effort)",),IF(AND('BP5'!I33&gt;0,'BP5'!J33&gt;0)," and ",),IF('BP5'!J33&gt;0,TEXT('BP5'!J33,"0.00")&amp;" summer month"&amp;IF('BP5'!J33&gt;1,"s",)&amp;" (or "&amp;TEXT('BP5'!J33/3,"0%")&amp;" summer effort)",))))),"")),"")</f>
        <v/>
      </c>
      <c r="N25" s="224" t="str">
        <f>IF(AND('BP1'!M33&gt;0,'BP1'!$A$5&gt;0),TEXT('BP1'!M33,"0.00")&amp;" cost-shared month"&amp;IF('BP1'!M33&gt;1,"s",)&amp;" (or "&amp;TEXT('BP1'!M33/'BP1'!G33/ROUNDUP('BP1'!M33/'BP1'!G33,0),"0%")&amp;" cost-shared effort"&amp;IF('BP1'!M33&gt;12," each","")&amp;")","")</f>
        <v/>
      </c>
      <c r="O25" s="224" t="str">
        <f>IF(AND('BP2'!M33&gt;0,'BP2'!$A$5&gt;0),TEXT('BP2'!M33,"0.00")&amp;" cost-shared month"&amp;IF('BP2'!M33&gt;1,"s",)&amp;" (or "&amp;TEXT('BP2'!M33/'BP2'!G33/ROUNDUP('BP2'!M33/'BP2'!G33,0),"0%")&amp;" cost-shared effort"&amp;IF('BP2'!M33&gt;12," each","")&amp;")","")</f>
        <v/>
      </c>
      <c r="P25" s="224" t="str">
        <f>IF(AND('BP3'!M33&gt;0,'BP3'!$A$5&gt;0),TEXT('BP3'!M33,"0.00")&amp;" cost-shared month"&amp;IF('BP3'!M33&gt;1,"s",)&amp;" (or "&amp;TEXT('BP3'!M33/'BP3'!G33/ROUNDUP('BP3'!M33/'BP3'!G33,0),"0%")&amp;" cost-shared effort"&amp;IF('BP3'!M33&gt;12," each","")&amp;")","")</f>
        <v/>
      </c>
      <c r="Q25" s="224" t="str">
        <f>IF(AND('BP4'!M33&gt;0,'BP4'!$A$5&gt;0),TEXT('BP4'!M33,"0.00")&amp;" cost-shared month"&amp;IF('BP4'!M33&gt;1,"s",)&amp;" (or "&amp;TEXT('BP4'!M33/'BP4'!G33/ROUNDUP('BP4'!M33/'BP4'!G33,0),"0%")&amp;" cost-shared effort"&amp;IF('BP4'!M33&gt;12," each","")&amp;")","")</f>
        <v/>
      </c>
      <c r="R25" s="224" t="str">
        <f>IF(AND('BP5'!M33&gt;0,'BP5'!$A$5&gt;0),TEXT('BP5'!M33,"0.00")&amp;" cost-shared month"&amp;IF('BP5'!M33&gt;1,"s",)&amp;" (or "&amp;TEXT('BP5'!M33/'BP5'!G33/ROUNDUP('BP5'!M33/'BP5'!G33,0),"0%")&amp;" cost-shared effort"&amp;IF('BP5'!M33&gt;12," each","")&amp;")","")</f>
        <v/>
      </c>
      <c r="S25" s="210" t="str">
        <f>IF(AND('BP1'!$K$5=2,I25&lt;&gt;J25),"Note: Effort changes in the outyears!","")&amp;IF(AND('BP1'!$K$5=3,OR(I25&lt;&gt;J25,I25&lt;&gt;K25,J25&lt;&gt;K25)),"Note: Effort changes in the outyears!","")&amp;IF(AND('BP1'!$K$5=4,OR(I25&lt;&gt;J25,I25&lt;&gt;K25,I25&lt;&gt;L25,J25&lt;&gt;K25,J25&lt;&gt;L25,K25&lt;&gt;L25)),"Note: Effort changes in the outyears!","")&amp;IF(AND('BP1'!$K$5=5,OR(I25&lt;&gt;J25,I25&lt;&gt;K25,I25&lt;&gt;L25,I25&lt;&gt;M25,J25&lt;&gt;K25,J25&lt;&gt;L25,J25&lt;&gt;M25,K25&lt;&gt;L25,K25&lt;&gt;M25,L25&lt;&gt;M25)),"Note: Effort changes in the outyears!","")</f>
        <v/>
      </c>
      <c r="T25" s="210" t="str">
        <f>IF(AND('BP1'!$K$5=2,N25&lt;&gt;O25),"Note: Effort changes in the outyears!","")&amp;IF(AND('BP1'!$K$5=3,OR(N25&lt;&gt;O25,N25&lt;&gt;P25,O25&lt;&gt;P25)),"Note: Effort changes in the outyears!","")&amp;IF(AND('BP1'!$K$5=4,OR(N25&lt;&gt;O25,N25&lt;&gt;P25,N25&lt;&gt;Q25,O25&lt;&gt;P25,O25&lt;&gt;Q25,P25&lt;&gt;Q25)),"Note: Effort changes in the outyears!","")&amp;IF(AND('BP1'!$K$5=5,OR(N25&lt;&gt;O25,N25&lt;&gt;P25,N25&lt;&gt;Q25,N25&lt;&gt;R25,O25&lt;&gt;P25,O25&lt;&gt;Q25,O25&lt;&gt;R25,P25&lt;&gt;Q25,P25&lt;&gt;R25,Q25&lt;&gt;R25)),"Note: Effort changes in the outyears!","")</f>
        <v/>
      </c>
      <c r="U25" s="561" t="str">
        <f t="shared" ca="1" si="1"/>
        <v>Blank</v>
      </c>
    </row>
    <row r="26" spans="1:21" ht="60" customHeight="1">
      <c r="A26" s="880" t="str">
        <f ca="1">IF('Cumulative Budget'!H34+'Cumulative Budget'!I34+'Cumulative Budget'!J34&gt;0,IF(S26="Note: Effort changes in the outyears!",IF(I26&lt;&gt;"",I26&amp;" in Budget Period 1","")&amp;IF(AND(I26&lt;&gt;"",J26&lt;&gt;""),"; ","")&amp;IF(J26&lt;&gt;"",J26&amp;" in Budget Period 2","")&amp;IF(AND(OR(I26&lt;&gt;"",J26&lt;&gt;""),K26&lt;&gt;""),"; ","")&amp;IF(K26&lt;&gt;"",K26&amp;" in Budget Period 3","")&amp;IF(AND(OR(I26&lt;&gt;"",J26&lt;&gt;"",K26&lt;&gt;""),L26&lt;&gt;""),"; ","")&amp;IF(L26&lt;&gt;"",L26&amp;" in Budget Period 4","")&amp;IF(AND(OR(I26&lt;&gt;"",J26&lt;&gt;"",K26&lt;&gt;"",L26&lt;&gt;""),M26&lt;&gt;""),"; ","")&amp;IF(M26&lt;&gt;"",M26&amp;" in Budget Period 5","")&amp;" for "&amp;ROUNDUP('BP1'!H34/'BP1'!G34,0)&amp;" "&amp;'BP1'!D34&amp;" is requested. ",I26&amp;" for "&amp;ROUNDUP('BP1'!H34/'BP1'!G34,0)&amp;" "&amp;'BP1'!D34&amp;" is requested"&amp;IF('BP1'!$K$5&gt;1," each budget period for "&amp;'BP1'!$K$5&amp;" budget periods. ",". ")),"")&amp;IF('Cumulative Budget'!N34&gt;0,IF(T26="Note: Effort changes in the outyears!",IF(N26&lt;&gt;"",N26&amp;" in Budget Period 1","")&amp;IF(AND(N26&lt;&gt;"",O26&lt;&gt;""),"; ","")&amp;IF(O26&lt;&gt;"",O26&amp;" in Budget Period 2","")&amp;IF(AND(OR(N26&lt;&gt;"",O26&lt;&gt;""),P26&lt;&gt;""),"; ","")&amp;IF(P26&lt;&gt;"",P26&amp;" in Budget Period 3","")&amp;IF(AND(OR(N26&lt;&gt;"",O26&lt;&gt;"",P26&lt;&gt;""),Q26&lt;&gt;""),"; ","")&amp;IF(Q26&lt;&gt;"",Q26&amp;" in Budget Period 4","")&amp;IF(AND(OR(N26&lt;&gt;"",O26&lt;&gt;"",P26&lt;&gt;"",Q26&lt;&gt;""),R26&lt;&gt;""),"; ","")&amp;IF(R26&lt;&gt;"",R26&amp;" in Budget Period 5","")&amp;" for "&amp;ROUNDUP('BP1'!M34/'BP1'!G34,0)&amp;" "&amp;'BP1'!D34&amp;" is requested. ",N26&amp;" for "&amp;ROUNDUP('BP1'!M34/'BP1'!G34,0)&amp;" "&amp;'BP1'!D34&amp;" is requested"&amp;IF('BP1'!$K$5&gt;1," each budget period for "&amp;'BP1'!$K$5&amp;" budget periods. ",". ")),"")&amp;IF(AND('BP1'!$K$5&gt;1,'BP1'!$K$7&gt;0,OR('Cumulative Budget'!H34+'Cumulative Budget'!M34&gt;0)),"Salary is inflated by "&amp;('BP1'!$K$7*100)&amp;"% annually each September. ","")&amp;IF(ISBLANK('BP1'!Q34),"",'BP1'!Q34)</f>
        <v/>
      </c>
      <c r="B26" s="880"/>
      <c r="C26" s="880"/>
      <c r="D26" s="880"/>
      <c r="E26" s="880"/>
      <c r="F26" s="880"/>
      <c r="G26" s="880"/>
      <c r="H26" s="880"/>
      <c r="I26" s="224" t="str">
        <f>IF(SUM('Cumulative Budget'!H34:J34)&gt;0,(IF('BP1'!$K$5&gt;0,((IF('BP1'!H34&gt;0,CONCATENATE(IF('BP1'!H34&gt;0,TEXT('BP1'!H34,"0.00")&amp;" calendar month"&amp;IF('BP1'!H34&gt;1,"s",)&amp;" (or "&amp;TEXT('BP1'!H34/'BP1'!G34/ROUNDUP('BP1'!H34/'BP1'!G34,0),"0%")&amp;" calendar effort"&amp;IF('BP1'!H34&gt;12," each","")&amp;")",)),CONCATENATE(IF('BP1'!I34&gt;0,TEXT('BP1'!I34,"0.00")&amp;" academic month"&amp;IF('BP1'!I34&gt;1,"s",)&amp;" (or "&amp;TEXT('BP1'!I34/9,"0%")&amp;" academic effort)",),IF(AND('BP1'!I34&gt;0,'BP1'!J34&gt;0)," and ",),IF('BP1'!J34&gt;0,TEXT('BP1'!J34,"0.00")&amp;" summer month"&amp;IF('BP1'!J34&gt;1,"s",)&amp;" (or "&amp;TEXT('BP1'!J34/3,"0%")&amp;" summer effort)",))))),"")),"")</f>
        <v/>
      </c>
      <c r="J26" s="224" t="str">
        <f>IF(SUM('Cumulative Budget'!H34:J34)&gt;0,(IF('BP1'!$K$5&gt;1,((IF('BP2'!H34&gt;0,CONCATENATE(IF('BP2'!H34&gt;0,TEXT('BP2'!H34,"0.00")&amp;" calendar month"&amp;IF('BP2'!H34&gt;1,"s",)&amp;" (or "&amp;TEXT('BP2'!H34/'BP2'!G34/ROUNDUP('BP2'!H34/'BP2'!G34,0),"0%")&amp;" calendar effort"&amp;IF('BP2'!H34&gt;12," each","")&amp;")",)),CONCATENATE(IF('BP2'!I34&gt;0,TEXT('BP2'!I34,"0.00")&amp;" academic month"&amp;IF('BP2'!I34&gt;1,"s",)&amp;" (or "&amp;TEXT('BP2'!I34/9,"0%")&amp;" academic effort)",),IF(AND('BP2'!I34&gt;0,'BP2'!J34&gt;0)," and ",),IF('BP2'!J34&gt;0,TEXT('BP2'!J34,"0.00")&amp;" summer month"&amp;IF('BP2'!J34&gt;1,"s",)&amp;" (or "&amp;TEXT('BP2'!J34/3,"0%")&amp;" summer effort)",))))),"")),"")</f>
        <v/>
      </c>
      <c r="K26" s="224" t="str">
        <f>IF(SUM('Cumulative Budget'!H34:J34)&gt;0,(IF('BP1'!$K$5&gt;2,((IF('BP3'!H34&gt;0,CONCATENATE(IF('BP3'!H34&gt;0,TEXT('BP3'!H34,"0.00")&amp;" calendar month"&amp;IF('BP3'!H34&gt;1,"s",)&amp;" (or "&amp;TEXT('BP3'!H34/'BP3'!G34/ROUNDUP('BP3'!H34/'BP3'!G34,0),"0%")&amp;" calendar effort"&amp;IF('BP3'!H34&gt;12," each","")&amp;")",)),CONCATENATE(IF('BP3'!I34&gt;0,TEXT('BP3'!I34,"0.00")&amp;" academic month"&amp;IF('BP3'!I34&gt;1,"s",)&amp;" (or "&amp;TEXT('BP3'!I34/9,"0%")&amp;" academic effort)",),IF(AND('BP3'!I34&gt;0,'BP3'!J34&gt;0)," and ",),IF('BP3'!J34&gt;0,TEXT('BP3'!J34,"0.00")&amp;" summer month"&amp;IF('BP3'!J34&gt;1,"s",)&amp;" (or "&amp;TEXT('BP3'!J34/3,"0%")&amp;" summer effort)",))))),"")),"")</f>
        <v/>
      </c>
      <c r="L26" s="224" t="str">
        <f>IF(SUM('Cumulative Budget'!H34:J34)&gt;0,(IF('BP1'!$K$5&gt;3,((IF('BP4'!H34&gt;0,CONCATENATE(IF('BP4'!H34&gt;0,TEXT('BP4'!H34,"0.00")&amp;" calendar month"&amp;IF('BP4'!H34&gt;1,"s",)&amp;" (or "&amp;TEXT('BP4'!H34/'BP4'!G34/ROUNDUP('BP4'!H34/'BP4'!G34,0),"0%")&amp;" calendar effort"&amp;IF('BP4'!H34&gt;12," each","")&amp;")",)),CONCATENATE(IF('BP4'!I34&gt;0,TEXT('BP4'!I34,"0.00")&amp;" academic month"&amp;IF('BP4'!I34&gt;1,"s",)&amp;" (or "&amp;TEXT('BP4'!I34/9,"0%")&amp;" academic effort)",),IF(AND('BP4'!I34&gt;0,'BP4'!J34&gt;0)," and ",),IF('BP4'!J34&gt;0,TEXT('BP4'!J34,"0.00")&amp;" summer month"&amp;IF('BP4'!J34&gt;1,"s",)&amp;" (or "&amp;TEXT('BP4'!J34/3,"0%")&amp;" summer effort)",))))),"")),"")</f>
        <v/>
      </c>
      <c r="M26" s="224" t="str">
        <f>IF(SUM('Cumulative Budget'!H34:J34)&gt;0,(IF('BP1'!$K$5&gt;4,((IF('BP5'!H34&gt;0,CONCATENATE(IF('BP5'!H34&gt;0,TEXT('BP5'!H34,"0.00")&amp;" calendar month"&amp;IF('BP5'!H34&gt;1,"s",)&amp;" (or "&amp;TEXT('BP5'!H34/'BP5'!G34/ROUNDUP('BP5'!H34/'BP5'!G34,0),"0%")&amp;" calendar effort"&amp;IF('BP5'!H34&gt;12," each","")&amp;")",)),CONCATENATE(IF('BP5'!I34&gt;0,TEXT('BP5'!I34,"0.00")&amp;" academic month"&amp;IF('BP5'!I34&gt;1,"s",)&amp;" (or "&amp;TEXT('BP5'!I34/9,"0%")&amp;" academic effort)",),IF(AND('BP5'!I34&gt;0,'BP5'!J34&gt;0)," and ",),IF('BP5'!J34&gt;0,TEXT('BP5'!J34,"0.00")&amp;" summer month"&amp;IF('BP5'!J34&gt;1,"s",)&amp;" (or "&amp;TEXT('BP5'!J34/3,"0%")&amp;" summer effort)",))))),"")),"")</f>
        <v/>
      </c>
      <c r="N26" s="224" t="str">
        <f>IF(AND('BP1'!M34&gt;0,'BP1'!$A$5&gt;0),TEXT('BP1'!M34,"0.00")&amp;" cost-shared month"&amp;IF('BP1'!M34&gt;1,"s",)&amp;" (or "&amp;TEXT('BP1'!M34/'BP1'!G34/ROUNDUP('BP1'!M34/'BP1'!G34,0),"0%")&amp;" cost-shared effort"&amp;IF('BP1'!M34&gt;12," each","")&amp;")","")</f>
        <v/>
      </c>
      <c r="O26" s="224" t="str">
        <f>IF(AND('BP2'!M34&gt;0,'BP2'!$A$5&gt;0),TEXT('BP2'!M34,"0.00")&amp;" cost-shared month"&amp;IF('BP2'!M34&gt;1,"s",)&amp;" (or "&amp;TEXT('BP2'!M34/'BP2'!G34/ROUNDUP('BP2'!M34/'BP2'!G34,0),"0%")&amp;" cost-shared effort"&amp;IF('BP2'!M34&gt;12," each","")&amp;")","")</f>
        <v/>
      </c>
      <c r="P26" s="224" t="str">
        <f>IF(AND('BP3'!M34&gt;0,'BP3'!$A$5&gt;0),TEXT('BP3'!M34,"0.00")&amp;" cost-shared month"&amp;IF('BP3'!M34&gt;1,"s",)&amp;" (or "&amp;TEXT('BP3'!M34/'BP3'!G34/ROUNDUP('BP3'!M34/'BP3'!G34,0),"0%")&amp;" cost-shared effort"&amp;IF('BP3'!M34&gt;12," each","")&amp;")","")</f>
        <v/>
      </c>
      <c r="Q26" s="224" t="str">
        <f>IF(AND('BP4'!M34&gt;0,'BP4'!$A$5&gt;0),TEXT('BP4'!M34,"0.00")&amp;" cost-shared month"&amp;IF('BP4'!M34&gt;1,"s",)&amp;" (or "&amp;TEXT('BP4'!M34/'BP4'!G34/ROUNDUP('BP4'!M34/'BP4'!G34,0),"0%")&amp;" cost-shared effort"&amp;IF('BP4'!M34&gt;12," each","")&amp;")","")</f>
        <v/>
      </c>
      <c r="R26" s="224" t="str">
        <f>IF(AND('BP5'!M34&gt;0,'BP5'!$A$5&gt;0),TEXT('BP5'!M34,"0.00")&amp;" cost-shared month"&amp;IF('BP5'!M34&gt;1,"s",)&amp;" (or "&amp;TEXT('BP5'!M34/'BP5'!G34/ROUNDUP('BP5'!M34/'BP5'!G34,0),"0%")&amp;" cost-shared effort"&amp;IF('BP5'!M34&gt;12," each","")&amp;")","")</f>
        <v/>
      </c>
      <c r="S26" s="210" t="str">
        <f>IF(AND('BP1'!$K$5=2,I26&lt;&gt;J26),"Note: Effort changes in the outyears!","")&amp;IF(AND('BP1'!$K$5=3,OR(I26&lt;&gt;J26,I26&lt;&gt;K26,J26&lt;&gt;K26)),"Note: Effort changes in the outyears!","")&amp;IF(AND('BP1'!$K$5=4,OR(I26&lt;&gt;J26,I26&lt;&gt;K26,I26&lt;&gt;L26,J26&lt;&gt;K26,J26&lt;&gt;L26,K26&lt;&gt;L26)),"Note: Effort changes in the outyears!","")&amp;IF(AND('BP1'!$K$5=5,OR(I26&lt;&gt;J26,I26&lt;&gt;K26,I26&lt;&gt;L26,I26&lt;&gt;M26,J26&lt;&gt;K26,J26&lt;&gt;L26,J26&lt;&gt;M26,K26&lt;&gt;L26,K26&lt;&gt;M26,L26&lt;&gt;M26)),"Note: Effort changes in the outyears!","")</f>
        <v/>
      </c>
      <c r="T26" s="210" t="str">
        <f>IF(AND('BP1'!$K$5=2,N26&lt;&gt;O26),"Note: Effort changes in the outyears!","")&amp;IF(AND('BP1'!$K$5=3,OR(N26&lt;&gt;O26,N26&lt;&gt;P26,O26&lt;&gt;P26)),"Note: Effort changes in the outyears!","")&amp;IF(AND('BP1'!$K$5=4,OR(N26&lt;&gt;O26,N26&lt;&gt;P26,N26&lt;&gt;Q26,O26&lt;&gt;P26,O26&lt;&gt;Q26,P26&lt;&gt;Q26)),"Note: Effort changes in the outyears!","")&amp;IF(AND('BP1'!$K$5=5,OR(N26&lt;&gt;O26,N26&lt;&gt;P26,N26&lt;&gt;Q26,N26&lt;&gt;R26,O26&lt;&gt;P26,O26&lt;&gt;Q26,O26&lt;&gt;R26,P26&lt;&gt;Q26,P26&lt;&gt;R26,Q26&lt;&gt;R26)),"Note: Effort changes in the outyears!","")</f>
        <v/>
      </c>
      <c r="U26" s="561" t="str">
        <f t="shared" ca="1" si="1"/>
        <v>Blank</v>
      </c>
    </row>
    <row r="27" spans="1:21" ht="60" customHeight="1">
      <c r="A27" s="880" t="str">
        <f ca="1">IF('Cumulative Budget'!H35+'Cumulative Budget'!I35+'Cumulative Budget'!J35&gt;0,IF(S27="Note: Effort changes in the outyears!",IF(I27&lt;&gt;"",I27&amp;" in Budget Period 1","")&amp;IF(AND(I27&lt;&gt;"",J27&lt;&gt;""),"; ","")&amp;IF(J27&lt;&gt;"",J27&amp;" in Budget Period 2","")&amp;IF(AND(OR(I27&lt;&gt;"",J27&lt;&gt;""),K27&lt;&gt;""),"; ","")&amp;IF(K27&lt;&gt;"",K27&amp;" in Budget Period 3","")&amp;IF(AND(OR(I27&lt;&gt;"",J27&lt;&gt;"",K27&lt;&gt;""),L27&lt;&gt;""),"; ","")&amp;IF(L27&lt;&gt;"",L27&amp;" in Budget Period 4","")&amp;IF(AND(OR(I27&lt;&gt;"",J27&lt;&gt;"",K27&lt;&gt;"",L27&lt;&gt;""),M27&lt;&gt;""),"; ","")&amp;IF(M27&lt;&gt;"",M27&amp;" in Budget Period 5","")&amp;" for "&amp;ROUNDUP('BP1'!H35/'BP1'!G35,0)&amp;" "&amp;'BP1'!D35&amp;" is requested. ",I27&amp;" for "&amp;ROUNDUP('BP1'!H35/'BP1'!G35,0)&amp;" "&amp;'BP1'!D35&amp;" is requested"&amp;IF('BP1'!$K$5&gt;1," each budget period for "&amp;'BP1'!$K$5&amp;" budget periods. ",". ")),"")&amp;IF('Cumulative Budget'!N35&gt;0,IF(T27="Note: Effort changes in the outyears!",IF(N27&lt;&gt;"",N27&amp;" in Budget Period 1","")&amp;IF(AND(N27&lt;&gt;"",O27&lt;&gt;""),"; ","")&amp;IF(O27&lt;&gt;"",O27&amp;" in Budget Period 2","")&amp;IF(AND(OR(N27&lt;&gt;"",O27&lt;&gt;""),P27&lt;&gt;""),"; ","")&amp;IF(P27&lt;&gt;"",P27&amp;" in Budget Period 3","")&amp;IF(AND(OR(N27&lt;&gt;"",O27&lt;&gt;"",P27&lt;&gt;""),Q27&lt;&gt;""),"; ","")&amp;IF(Q27&lt;&gt;"",Q27&amp;" in Budget Period 4","")&amp;IF(AND(OR(N27&lt;&gt;"",O27&lt;&gt;"",P27&lt;&gt;"",Q27&lt;&gt;""),R27&lt;&gt;""),"; ","")&amp;IF(R27&lt;&gt;"",R27&amp;" in Budget Period 5","")&amp;" for "&amp;ROUNDUP('BP1'!M35/'BP1'!G35,0)&amp;" "&amp;'BP1'!D35&amp;" is requested. ",N27&amp;" for "&amp;ROUNDUP('BP1'!M35/'BP1'!G35,0)&amp;" "&amp;'BP1'!D35&amp;" is requested"&amp;IF('BP1'!$K$5&gt;1," each budget period for "&amp;'BP1'!$K$5&amp;" budget periods. ",". ")),"")&amp;IF(AND('BP1'!$K$5&gt;1,'BP1'!$K$7&gt;0,OR('Cumulative Budget'!H35+'Cumulative Budget'!M35&gt;0)),"Salary is inflated by "&amp;('BP1'!$K$7*100)&amp;"% annually each September. ","")&amp;IF(ISBLANK('BP1'!Q35),"",'BP1'!Q35)</f>
        <v/>
      </c>
      <c r="B27" s="880"/>
      <c r="C27" s="880"/>
      <c r="D27" s="880"/>
      <c r="E27" s="880"/>
      <c r="F27" s="880"/>
      <c r="G27" s="880"/>
      <c r="H27" s="880"/>
      <c r="I27" s="224" t="str">
        <f>IF(SUM('Cumulative Budget'!H35:J35)&gt;0,(IF('BP1'!$K$5&gt;0,((IF('BP1'!H35&gt;0,CONCATENATE(IF('BP1'!H35&gt;0,TEXT('BP1'!H35,"0.00")&amp;" calendar month"&amp;IF('BP1'!H35&gt;1,"s",)&amp;" (or "&amp;TEXT('BP1'!H35/'BP1'!G35/ROUNDUP('BP1'!H35/'BP1'!G35,0),"0%")&amp;" calendar effort"&amp;IF('BP1'!H35&gt;12," each","")&amp;")",)),CONCATENATE(IF('BP1'!I35&gt;0,TEXT('BP1'!I35,"0.00")&amp;" academic month"&amp;IF('BP1'!I35&gt;1,"s",)&amp;" (or "&amp;TEXT('BP1'!I35/9,"0%")&amp;" academic effort)",),IF(AND('BP1'!I35&gt;0,'BP1'!J35&gt;0)," and ",),IF('BP1'!J35&gt;0,TEXT('BP1'!J35,"0.00")&amp;" summer month"&amp;IF('BP1'!J35&gt;1,"s",)&amp;" (or "&amp;TEXT('BP1'!J35/3,"0%")&amp;" summer effort)",))))),"")),"")</f>
        <v/>
      </c>
      <c r="J27" s="224" t="str">
        <f>IF(SUM('Cumulative Budget'!H35:J35)&gt;0,(IF('BP1'!$K$5&gt;1,((IF('BP2'!H35&gt;0,CONCATENATE(IF('BP2'!H35&gt;0,TEXT('BP2'!H35,"0.00")&amp;" calendar month"&amp;IF('BP2'!H35&gt;1,"s",)&amp;" (or "&amp;TEXT('BP2'!H35/'BP2'!G35/ROUNDUP('BP2'!H35/'BP2'!G35,0),"0%")&amp;" calendar effort"&amp;IF('BP2'!H35&gt;12," each","")&amp;")",)),CONCATENATE(IF('BP2'!I35&gt;0,TEXT('BP2'!I35,"0.00")&amp;" academic month"&amp;IF('BP2'!I35&gt;1,"s",)&amp;" (or "&amp;TEXT('BP2'!I35/9,"0%")&amp;" academic effort)",),IF(AND('BP2'!I35&gt;0,'BP2'!J35&gt;0)," and ",),IF('BP2'!J35&gt;0,TEXT('BP2'!J35,"0.00")&amp;" summer month"&amp;IF('BP2'!J35&gt;1,"s",)&amp;" (or "&amp;TEXT('BP2'!J35/3,"0%")&amp;" summer effort)",))))),"")),"")</f>
        <v/>
      </c>
      <c r="K27" s="224" t="str">
        <f>IF(SUM('Cumulative Budget'!H35:J35)&gt;0,(IF('BP1'!$K$5&gt;2,((IF('BP3'!H35&gt;0,CONCATENATE(IF('BP3'!H35&gt;0,TEXT('BP3'!H35,"0.00")&amp;" calendar month"&amp;IF('BP3'!H35&gt;1,"s",)&amp;" (or "&amp;TEXT('BP3'!H35/'BP3'!G35/ROUNDUP('BP3'!H35/'BP3'!G35,0),"0%")&amp;" calendar effort"&amp;IF('BP3'!H35&gt;12," each","")&amp;")",)),CONCATENATE(IF('BP3'!I35&gt;0,TEXT('BP3'!I35,"0.00")&amp;" academic month"&amp;IF('BP3'!I35&gt;1,"s",)&amp;" (or "&amp;TEXT('BP3'!I35/9,"0%")&amp;" academic effort)",),IF(AND('BP3'!I35&gt;0,'BP3'!J35&gt;0)," and ",),IF('BP3'!J35&gt;0,TEXT('BP3'!J35,"0.00")&amp;" summer month"&amp;IF('BP3'!J35&gt;1,"s",)&amp;" (or "&amp;TEXT('BP3'!J35/3,"0%")&amp;" summer effort)",))))),"")),"")</f>
        <v/>
      </c>
      <c r="L27" s="224" t="str">
        <f>IF(SUM('Cumulative Budget'!H35:J35)&gt;0,(IF('BP1'!$K$5&gt;3,((IF('BP4'!H35&gt;0,CONCATENATE(IF('BP4'!H35&gt;0,TEXT('BP4'!H35,"0.00")&amp;" calendar month"&amp;IF('BP4'!H35&gt;1,"s",)&amp;" (or "&amp;TEXT('BP4'!H35/'BP4'!G35/ROUNDUP('BP4'!H35/'BP4'!G35,0),"0%")&amp;" calendar effort"&amp;IF('BP4'!H35&gt;12," each","")&amp;")",)),CONCATENATE(IF('BP4'!I35&gt;0,TEXT('BP4'!I35,"0.00")&amp;" academic month"&amp;IF('BP4'!I35&gt;1,"s",)&amp;" (or "&amp;TEXT('BP4'!I35/9,"0%")&amp;" academic effort)",),IF(AND('BP4'!I35&gt;0,'BP4'!J35&gt;0)," and ",),IF('BP4'!J35&gt;0,TEXT('BP4'!J35,"0.00")&amp;" summer month"&amp;IF('BP4'!J35&gt;1,"s",)&amp;" (or "&amp;TEXT('BP4'!J35/3,"0%")&amp;" summer effort)",))))),"")),"")</f>
        <v/>
      </c>
      <c r="M27" s="224" t="str">
        <f>IF(SUM('Cumulative Budget'!H35:J35)&gt;0,(IF('BP1'!$K$5&gt;4,((IF('BP5'!H35&gt;0,CONCATENATE(IF('BP5'!H35&gt;0,TEXT('BP5'!H35,"0.00")&amp;" calendar month"&amp;IF('BP5'!H35&gt;1,"s",)&amp;" (or "&amp;TEXT('BP5'!H35/'BP5'!G35/ROUNDUP('BP5'!H35/'BP5'!G35,0),"0%")&amp;" calendar effort"&amp;IF('BP5'!H35&gt;12," each","")&amp;")",)),CONCATENATE(IF('BP5'!I35&gt;0,TEXT('BP5'!I35,"0.00")&amp;" academic month"&amp;IF('BP5'!I35&gt;1,"s",)&amp;" (or "&amp;TEXT('BP5'!I35/9,"0%")&amp;" academic effort)",),IF(AND('BP5'!I35&gt;0,'BP5'!J35&gt;0)," and ",),IF('BP5'!J35&gt;0,TEXT('BP5'!J35,"0.00")&amp;" summer month"&amp;IF('BP5'!J35&gt;1,"s",)&amp;" (or "&amp;TEXT('BP5'!J35/3,"0%")&amp;" summer effort)",))))),"")),"")</f>
        <v/>
      </c>
      <c r="N27" s="224" t="str">
        <f>IF(AND('BP1'!M35&gt;0,'BP1'!$A$5&gt;0),TEXT('BP1'!M35,"0.00")&amp;" cost-shared month"&amp;IF('BP1'!M35&gt;1,"s",)&amp;" (or "&amp;TEXT('BP1'!M35/'BP1'!G35/ROUNDUP('BP1'!M35/'BP1'!G35,0),"0%")&amp;" cost-shared effort"&amp;IF('BP1'!M35&gt;12," each","")&amp;")","")</f>
        <v/>
      </c>
      <c r="O27" s="224" t="str">
        <f>IF(AND('BP2'!M35&gt;0,'BP2'!$A$5&gt;0),TEXT('BP2'!M35,"0.00")&amp;" cost-shared month"&amp;IF('BP2'!M35&gt;1,"s",)&amp;" (or "&amp;TEXT('BP2'!M35/'BP2'!G35/ROUNDUP('BP2'!M35/'BP2'!G35,0),"0%")&amp;" cost-shared effort"&amp;IF('BP2'!M35&gt;12," each","")&amp;")","")</f>
        <v/>
      </c>
      <c r="P27" s="224" t="str">
        <f>IF(AND('BP3'!M35&gt;0,'BP3'!$A$5&gt;0),TEXT('BP3'!M35,"0.00")&amp;" cost-shared month"&amp;IF('BP3'!M35&gt;1,"s",)&amp;" (or "&amp;TEXT('BP3'!M35/'BP3'!G35/ROUNDUP('BP3'!M35/'BP3'!G35,0),"0%")&amp;" cost-shared effort"&amp;IF('BP3'!M35&gt;12," each","")&amp;")","")</f>
        <v/>
      </c>
      <c r="Q27" s="224" t="str">
        <f>IF(AND('BP4'!M35&gt;0,'BP4'!$A$5&gt;0),TEXT('BP4'!M35,"0.00")&amp;" cost-shared month"&amp;IF('BP4'!M35&gt;1,"s",)&amp;" (or "&amp;TEXT('BP4'!M35/'BP4'!G35/ROUNDUP('BP4'!M35/'BP4'!G35,0),"0%")&amp;" cost-shared effort"&amp;IF('BP4'!M35&gt;12," each","")&amp;")","")</f>
        <v/>
      </c>
      <c r="R27" s="224" t="str">
        <f>IF(AND('BP5'!M35&gt;0,'BP5'!$A$5&gt;0),TEXT('BP5'!M35,"0.00")&amp;" cost-shared month"&amp;IF('BP5'!M35&gt;1,"s",)&amp;" (or "&amp;TEXT('BP5'!M35/'BP5'!G35/ROUNDUP('BP5'!M35/'BP5'!G35,0),"0%")&amp;" cost-shared effort"&amp;IF('BP5'!M35&gt;12," each","")&amp;")","")</f>
        <v/>
      </c>
      <c r="S27" s="210" t="str">
        <f>IF(AND('BP1'!$K$5=2,I27&lt;&gt;J27),"Note: Effort changes in the outyears!","")&amp;IF(AND('BP1'!$K$5=3,OR(I27&lt;&gt;J27,I27&lt;&gt;K27,J27&lt;&gt;K27)),"Note: Effort changes in the outyears!","")&amp;IF(AND('BP1'!$K$5=4,OR(I27&lt;&gt;J27,I27&lt;&gt;K27,I27&lt;&gt;L27,J27&lt;&gt;K27,J27&lt;&gt;L27,K27&lt;&gt;L27)),"Note: Effort changes in the outyears!","")&amp;IF(AND('BP1'!$K$5=5,OR(I27&lt;&gt;J27,I27&lt;&gt;K27,I27&lt;&gt;L27,I27&lt;&gt;M27,J27&lt;&gt;K27,J27&lt;&gt;L27,J27&lt;&gt;M27,K27&lt;&gt;L27,K27&lt;&gt;M27,L27&lt;&gt;M27)),"Note: Effort changes in the outyears!","")</f>
        <v/>
      </c>
      <c r="T27" s="210" t="str">
        <f>IF(AND('BP1'!$K$5=2,N27&lt;&gt;O27),"Note: Effort changes in the outyears!","")&amp;IF(AND('BP1'!$K$5=3,OR(N27&lt;&gt;O27,N27&lt;&gt;P27,O27&lt;&gt;P27)),"Note: Effort changes in the outyears!","")&amp;IF(AND('BP1'!$K$5=4,OR(N27&lt;&gt;O27,N27&lt;&gt;P27,N27&lt;&gt;Q27,O27&lt;&gt;P27,O27&lt;&gt;Q27,P27&lt;&gt;Q27)),"Note: Effort changes in the outyears!","")&amp;IF(AND('BP1'!$K$5=5,OR(N27&lt;&gt;O27,N27&lt;&gt;P27,N27&lt;&gt;Q27,N27&lt;&gt;R27,O27&lt;&gt;P27,O27&lt;&gt;Q27,O27&lt;&gt;R27,P27&lt;&gt;Q27,P27&lt;&gt;R27,Q27&lt;&gt;R27)),"Note: Effort changes in the outyears!","")</f>
        <v/>
      </c>
      <c r="U27" s="561" t="str">
        <f t="shared" ca="1" si="1"/>
        <v>Blank</v>
      </c>
    </row>
    <row r="28" spans="1:21" ht="60" customHeight="1">
      <c r="A28" s="880" t="str">
        <f ca="1">IF('Cumulative Budget'!H36+'Cumulative Budget'!I36+'Cumulative Budget'!J36&gt;0,IF(S28="Note: Effort changes in the outyears!",IF(I28&lt;&gt;"",I28&amp;" in Budget Period 1","")&amp;IF(AND(I28&lt;&gt;"",J28&lt;&gt;""),"; ","")&amp;IF(J28&lt;&gt;"",J28&amp;" in Budget Period 2","")&amp;IF(AND(OR(I28&lt;&gt;"",J28&lt;&gt;""),K28&lt;&gt;""),"; ","")&amp;IF(K28&lt;&gt;"",K28&amp;" in Budget Period 3","")&amp;IF(AND(OR(I28&lt;&gt;"",J28&lt;&gt;"",K28&lt;&gt;""),L28&lt;&gt;""),"; ","")&amp;IF(L28&lt;&gt;"",L28&amp;" in Budget Period 4","")&amp;IF(AND(OR(I28&lt;&gt;"",J28&lt;&gt;"",K28&lt;&gt;"",L28&lt;&gt;""),M28&lt;&gt;""),"; ","")&amp;IF(M28&lt;&gt;"",M28&amp;" in Budget Period 5","")&amp;" for "&amp;ROUNDUP('BP1'!H36/'BP1'!G36,0)&amp;" "&amp;'BP1'!D36&amp;" is requested. ",I28&amp;" for "&amp;ROUNDUP('BP1'!H36/'BP1'!G36,0)&amp;" "&amp;'BP1'!D36&amp;" is requested"&amp;IF('BP1'!$K$5&gt;1," each budget period for "&amp;'BP1'!$K$5&amp;" budget periods. ",". ")),"")&amp;IF('Cumulative Budget'!N36&gt;0,IF(T28="Note: Effort changes in the outyears!",IF(N28&lt;&gt;"",N28&amp;" in Budget Period 1","")&amp;IF(AND(N28&lt;&gt;"",O28&lt;&gt;""),"; ","")&amp;IF(O28&lt;&gt;"",O28&amp;" in Budget Period 2","")&amp;IF(AND(OR(N28&lt;&gt;"",O28&lt;&gt;""),P28&lt;&gt;""),"; ","")&amp;IF(P28&lt;&gt;"",P28&amp;" in Budget Period 3","")&amp;IF(AND(OR(N28&lt;&gt;"",O28&lt;&gt;"",P28&lt;&gt;""),Q28&lt;&gt;""),"; ","")&amp;IF(Q28&lt;&gt;"",Q28&amp;" in Budget Period 4","")&amp;IF(AND(OR(N28&lt;&gt;"",O28&lt;&gt;"",P28&lt;&gt;"",Q28&lt;&gt;""),R28&lt;&gt;""),"; ","")&amp;IF(R28&lt;&gt;"",R28&amp;" in Budget Period 5","")&amp;" for "&amp;ROUNDUP('BP1'!M36/'BP1'!G36,0)&amp;" "&amp;'BP1'!D36&amp;" is requested. ",N28&amp;" for "&amp;ROUNDUP('BP1'!M36/'BP1'!G36,0)&amp;" "&amp;'BP1'!D36&amp;" is requested"&amp;IF('BP1'!$K$5&gt;1," each budget period for "&amp;'BP1'!$K$5&amp;" budget periods. ",". ")),"")&amp;IF(AND('BP1'!$K$5&gt;1,'BP1'!$K$7&gt;0,OR('Cumulative Budget'!H36+'Cumulative Budget'!M36&gt;0)),"Salary is inflated by "&amp;('BP1'!$K$7*100)&amp;"% annually each September. ","")&amp;IF(ISBLANK('BP1'!Q36),"",'BP1'!Q36)</f>
        <v/>
      </c>
      <c r="B28" s="880"/>
      <c r="C28" s="880"/>
      <c r="D28" s="880"/>
      <c r="E28" s="880"/>
      <c r="F28" s="880"/>
      <c r="G28" s="880"/>
      <c r="H28" s="880"/>
      <c r="I28" s="224" t="str">
        <f>IF(SUM('Cumulative Budget'!H36:J36)&gt;0,(IF('BP1'!$K$5&gt;0,((IF('BP1'!H36&gt;0,CONCATENATE(IF('BP1'!H36&gt;0,TEXT('BP1'!H36,"0.00")&amp;" calendar month"&amp;IF('BP1'!H36&gt;1,"s",)&amp;" (or "&amp;TEXT('BP1'!H36/'BP1'!G36/ROUNDUP('BP1'!H36/'BP1'!G36,0),"0%")&amp;" calendar effort"&amp;IF('BP1'!H36&gt;12," each","")&amp;")",)),CONCATENATE(IF('BP1'!I36&gt;0,TEXT('BP1'!I36,"0.00")&amp;" academic month"&amp;IF('BP1'!I36&gt;1,"s",)&amp;" (or "&amp;TEXT('BP1'!I36/9,"0%")&amp;" academic effort)",),IF(AND('BP1'!I36&gt;0,'BP1'!J36&gt;0)," and ",),IF('BP1'!J36&gt;0,TEXT('BP1'!J36,"0.00")&amp;" summer month"&amp;IF('BP1'!J36&gt;1,"s",)&amp;" (or "&amp;TEXT('BP1'!J36/3,"0%")&amp;" summer effort)",))))),"")),"")</f>
        <v/>
      </c>
      <c r="J28" s="224" t="str">
        <f>IF(SUM('Cumulative Budget'!H36:J36)&gt;0,(IF('BP1'!$K$5&gt;1,((IF('BP2'!H36&gt;0,CONCATENATE(IF('BP2'!H36&gt;0,TEXT('BP2'!H36,"0.00")&amp;" calendar month"&amp;IF('BP2'!H36&gt;1,"s",)&amp;" (or "&amp;TEXT('BP2'!H36/'BP2'!G36/ROUNDUP('BP2'!H36/'BP2'!G36,0),"0%")&amp;" calendar effort"&amp;IF('BP2'!H36&gt;12," each","")&amp;")",)),CONCATENATE(IF('BP2'!I36&gt;0,TEXT('BP2'!I36,"0.00")&amp;" academic month"&amp;IF('BP2'!I36&gt;1,"s",)&amp;" (or "&amp;TEXT('BP2'!I36/9,"0%")&amp;" academic effort)",),IF(AND('BP2'!I36&gt;0,'BP2'!J36&gt;0)," and ",),IF('BP2'!J36&gt;0,TEXT('BP2'!J36,"0.00")&amp;" summer month"&amp;IF('BP2'!J36&gt;1,"s",)&amp;" (or "&amp;TEXT('BP2'!J36/3,"0%")&amp;" summer effort)",))))),"")),"")</f>
        <v/>
      </c>
      <c r="K28" s="224" t="str">
        <f>IF(SUM('Cumulative Budget'!H36:J36)&gt;0,(IF('BP1'!$K$5&gt;2,((IF('BP3'!H36&gt;0,CONCATENATE(IF('BP3'!H36&gt;0,TEXT('BP3'!H36,"0.00")&amp;" calendar month"&amp;IF('BP3'!H36&gt;1,"s",)&amp;" (or "&amp;TEXT('BP3'!H36/'BP3'!G36/ROUNDUP('BP3'!H36/'BP3'!G36,0),"0%")&amp;" calendar effort"&amp;IF('BP3'!H36&gt;12," each","")&amp;")",)),CONCATENATE(IF('BP3'!I36&gt;0,TEXT('BP3'!I36,"0.00")&amp;" academic month"&amp;IF('BP3'!I36&gt;1,"s",)&amp;" (or "&amp;TEXT('BP3'!I36/9,"0%")&amp;" academic effort)",),IF(AND('BP3'!I36&gt;0,'BP3'!J36&gt;0)," and ",),IF('BP3'!J36&gt;0,TEXT('BP3'!J36,"0.00")&amp;" summer month"&amp;IF('BP3'!J36&gt;1,"s",)&amp;" (or "&amp;TEXT('BP3'!J36/3,"0%")&amp;" summer effort)",))))),"")),"")</f>
        <v/>
      </c>
      <c r="L28" s="224" t="str">
        <f>IF(SUM('Cumulative Budget'!H36:J36)&gt;0,(IF('BP1'!$K$5&gt;3,((IF('BP4'!H36&gt;0,CONCATENATE(IF('BP4'!H36&gt;0,TEXT('BP4'!H36,"0.00")&amp;" calendar month"&amp;IF('BP4'!H36&gt;1,"s",)&amp;" (or "&amp;TEXT('BP4'!H36/'BP4'!G36/ROUNDUP('BP4'!H36/'BP4'!G36,0),"0%")&amp;" calendar effort"&amp;IF('BP4'!H36&gt;12," each","")&amp;")",)),CONCATENATE(IF('BP4'!I36&gt;0,TEXT('BP4'!I36,"0.00")&amp;" academic month"&amp;IF('BP4'!I36&gt;1,"s",)&amp;" (or "&amp;TEXT('BP4'!I36/9,"0%")&amp;" academic effort)",),IF(AND('BP4'!I36&gt;0,'BP4'!J36&gt;0)," and ",),IF('BP4'!J36&gt;0,TEXT('BP4'!J36,"0.00")&amp;" summer month"&amp;IF('BP4'!J36&gt;1,"s",)&amp;" (or "&amp;TEXT('BP4'!J36/3,"0%")&amp;" summer effort)",))))),"")),"")</f>
        <v/>
      </c>
      <c r="M28" s="224" t="str">
        <f>IF(SUM('Cumulative Budget'!H36:J36)&gt;0,(IF('BP1'!$K$5&gt;4,((IF('BP5'!H36&gt;0,CONCATENATE(IF('BP5'!H36&gt;0,TEXT('BP5'!H36,"0.00")&amp;" calendar month"&amp;IF('BP5'!H36&gt;1,"s",)&amp;" (or "&amp;TEXT('BP5'!H36/'BP5'!G36/ROUNDUP('BP5'!H36/'BP5'!G36,0),"0%")&amp;" calendar effort"&amp;IF('BP5'!H36&gt;12," each","")&amp;")",)),CONCATENATE(IF('BP5'!I36&gt;0,TEXT('BP5'!I36,"0.00")&amp;" academic month"&amp;IF('BP5'!I36&gt;1,"s",)&amp;" (or "&amp;TEXT('BP5'!I36/9,"0%")&amp;" academic effort)",),IF(AND('BP5'!I36&gt;0,'BP5'!J36&gt;0)," and ",),IF('BP5'!J36&gt;0,TEXT('BP5'!J36,"0.00")&amp;" summer month"&amp;IF('BP5'!J36&gt;1,"s",)&amp;" (or "&amp;TEXT('BP5'!J36/3,"0%")&amp;" summer effort)",))))),"")),"")</f>
        <v/>
      </c>
      <c r="N28" s="224" t="str">
        <f>IF(AND('BP1'!M36&gt;0,'BP1'!$A$5&gt;0),TEXT('BP1'!M36,"0.00")&amp;" cost-shared month"&amp;IF('BP1'!M36&gt;1,"s",)&amp;" (or "&amp;TEXT('BP1'!M36/'BP1'!G36/ROUNDUP('BP1'!M36/'BP1'!G36,0),"0%")&amp;" cost-shared effort"&amp;IF('BP1'!M36&gt;12," each","")&amp;")","")</f>
        <v/>
      </c>
      <c r="O28" s="224" t="str">
        <f>IF(AND('BP2'!M36&gt;0,'BP2'!$A$5&gt;0),TEXT('BP2'!M36,"0.00")&amp;" cost-shared month"&amp;IF('BP2'!M36&gt;1,"s",)&amp;" (or "&amp;TEXT('BP2'!M36/'BP2'!G36/ROUNDUP('BP2'!M36/'BP2'!G36,0),"0%")&amp;" cost-shared effort"&amp;IF('BP2'!M36&gt;12," each","")&amp;")","")</f>
        <v/>
      </c>
      <c r="P28" s="224" t="str">
        <f>IF(AND('BP3'!M36&gt;0,'BP3'!$A$5&gt;0),TEXT('BP3'!M36,"0.00")&amp;" cost-shared month"&amp;IF('BP3'!M36&gt;1,"s",)&amp;" (or "&amp;TEXT('BP3'!M36/'BP3'!G36/ROUNDUP('BP3'!M36/'BP3'!G36,0),"0%")&amp;" cost-shared effort"&amp;IF('BP3'!M36&gt;12," each","")&amp;")","")</f>
        <v/>
      </c>
      <c r="Q28" s="224" t="str">
        <f>IF(AND('BP4'!M36&gt;0,'BP4'!$A$5&gt;0),TEXT('BP4'!M36,"0.00")&amp;" cost-shared month"&amp;IF('BP4'!M36&gt;1,"s",)&amp;" (or "&amp;TEXT('BP4'!M36/'BP4'!G36/ROUNDUP('BP4'!M36/'BP4'!G36,0),"0%")&amp;" cost-shared effort"&amp;IF('BP4'!M36&gt;12," each","")&amp;")","")</f>
        <v/>
      </c>
      <c r="R28" s="224" t="str">
        <f>IF(AND('BP5'!M36&gt;0,'BP5'!$A$5&gt;0),TEXT('BP5'!M36,"0.00")&amp;" cost-shared month"&amp;IF('BP5'!M36&gt;1,"s",)&amp;" (or "&amp;TEXT('BP5'!M36/'BP5'!G36/ROUNDUP('BP5'!M36/'BP5'!G36,0),"0%")&amp;" cost-shared effort"&amp;IF('BP5'!M36&gt;12," each","")&amp;")","")</f>
        <v/>
      </c>
      <c r="S28" s="210" t="str">
        <f>IF(AND('BP1'!$K$5=2,I28&lt;&gt;J28),"Note: Effort changes in the outyears!","")&amp;IF(AND('BP1'!$K$5=3,OR(I28&lt;&gt;J28,I28&lt;&gt;K28,J28&lt;&gt;K28)),"Note: Effort changes in the outyears!","")&amp;IF(AND('BP1'!$K$5=4,OR(I28&lt;&gt;J28,I28&lt;&gt;K28,I28&lt;&gt;L28,J28&lt;&gt;K28,J28&lt;&gt;L28,K28&lt;&gt;L28)),"Note: Effort changes in the outyears!","")&amp;IF(AND('BP1'!$K$5=5,OR(I28&lt;&gt;J28,I28&lt;&gt;K28,I28&lt;&gt;L28,I28&lt;&gt;M28,J28&lt;&gt;K28,J28&lt;&gt;L28,J28&lt;&gt;M28,K28&lt;&gt;L28,K28&lt;&gt;M28,L28&lt;&gt;M28)),"Note: Effort changes in the outyears!","")</f>
        <v/>
      </c>
      <c r="T28" s="210" t="str">
        <f>IF(AND('BP1'!$K$5=2,N28&lt;&gt;O28),"Note: Effort changes in the outyears!","")&amp;IF(AND('BP1'!$K$5=3,OR(N28&lt;&gt;O28,N28&lt;&gt;P28,O28&lt;&gt;P28)),"Note: Effort changes in the outyears!","")&amp;IF(AND('BP1'!$K$5=4,OR(N28&lt;&gt;O28,N28&lt;&gt;P28,N28&lt;&gt;Q28,O28&lt;&gt;P28,O28&lt;&gt;Q28,P28&lt;&gt;Q28)),"Note: Effort changes in the outyears!","")&amp;IF(AND('BP1'!$K$5=5,OR(N28&lt;&gt;O28,N28&lt;&gt;P28,N28&lt;&gt;Q28,N28&lt;&gt;R28,O28&lt;&gt;P28,O28&lt;&gt;Q28,O28&lt;&gt;R28,P28&lt;&gt;Q28,P28&lt;&gt;R28,Q28&lt;&gt;R28)),"Note: Effort changes in the outyears!","")</f>
        <v/>
      </c>
      <c r="U28" s="561" t="str">
        <f t="shared" ca="1" si="1"/>
        <v>Blank</v>
      </c>
    </row>
    <row r="29" spans="1:21" ht="60" customHeight="1">
      <c r="A29" s="880" t="str">
        <f ca="1">IF('Cumulative Budget'!H37+'Cumulative Budget'!I37+'Cumulative Budget'!J37&gt;0,IF(S29="Note: Effort changes in the outyears!",IF(I29&lt;&gt;"",I29&amp;" in Budget Period 1","")&amp;IF(AND(I29&lt;&gt;"",J29&lt;&gt;""),"; ","")&amp;IF(J29&lt;&gt;"",J29&amp;" in Budget Period 2","")&amp;IF(AND(OR(I29&lt;&gt;"",J29&lt;&gt;""),K29&lt;&gt;""),"; ","")&amp;IF(K29&lt;&gt;"",K29&amp;" in Budget Period 3","")&amp;IF(AND(OR(I29&lt;&gt;"",J29&lt;&gt;"",K29&lt;&gt;""),L29&lt;&gt;""),"; ","")&amp;IF(L29&lt;&gt;"",L29&amp;" in Budget Period 4","")&amp;IF(AND(OR(I29&lt;&gt;"",J29&lt;&gt;"",K29&lt;&gt;"",L29&lt;&gt;""),M29&lt;&gt;""),"; ","")&amp;IF(M29&lt;&gt;"",M29&amp;" in Budget Period 5","")&amp;" for "&amp;ROUNDUP('BP1'!H37/'BP1'!G37,0)&amp;" "&amp;'BP1'!D37&amp;" is requested. ",I29&amp;" for "&amp;ROUNDUP('BP1'!H37/'BP1'!G37,0)&amp;" "&amp;'BP1'!D37&amp;" is requested"&amp;IF('BP1'!$K$5&gt;1," each budget period for "&amp;'BP1'!$K$5&amp;" budget periods. ",". ")),"")&amp;IF('Cumulative Budget'!N37&gt;0,IF(T29="Note: Effort changes in the outyears!",IF(N29&lt;&gt;"",N29&amp;" in Budget Period 1","")&amp;IF(AND(N29&lt;&gt;"",O29&lt;&gt;""),"; ","")&amp;IF(O29&lt;&gt;"",O29&amp;" in Budget Period 2","")&amp;IF(AND(OR(N29&lt;&gt;"",O29&lt;&gt;""),P29&lt;&gt;""),"; ","")&amp;IF(P29&lt;&gt;"",P29&amp;" in Budget Period 3","")&amp;IF(AND(OR(N29&lt;&gt;"",O29&lt;&gt;"",P29&lt;&gt;""),Q29&lt;&gt;""),"; ","")&amp;IF(Q29&lt;&gt;"",Q29&amp;" in Budget Period 4","")&amp;IF(AND(OR(N29&lt;&gt;"",O29&lt;&gt;"",P29&lt;&gt;"",Q29&lt;&gt;""),R29&lt;&gt;""),"; ","")&amp;IF(R29&lt;&gt;"",R29&amp;" in Budget Period 5","")&amp;" for "&amp;ROUNDUP('BP1'!M37/'BP1'!G37,0)&amp;" "&amp;'BP1'!D37&amp;" is requested. ",N29&amp;" for "&amp;ROUNDUP('BP1'!M37/'BP1'!G37,0)&amp;" "&amp;'BP1'!D37&amp;" is requested"&amp;IF('BP1'!$K$5&gt;1," each budget period for "&amp;'BP1'!$K$5&amp;" budget periods. ",". ")),"")&amp;IF(AND('BP1'!$K$5&gt;1,'BP1'!$K$7&gt;0,OR('Cumulative Budget'!H37+'Cumulative Budget'!M37&gt;0)),"Salary is inflated by "&amp;('BP1'!$K$7*100)&amp;"% annually each September. ","")&amp;IF(ISBLANK('BP1'!Q37),"",'BP1'!Q37)</f>
        <v/>
      </c>
      <c r="B29" s="880"/>
      <c r="C29" s="880"/>
      <c r="D29" s="880"/>
      <c r="E29" s="880"/>
      <c r="F29" s="880"/>
      <c r="G29" s="880"/>
      <c r="H29" s="880"/>
      <c r="I29" s="224" t="str">
        <f>IF(SUM('Cumulative Budget'!H37:J37)&gt;0,(IF('BP1'!$K$5&gt;0,((IF('BP1'!H37&gt;0,CONCATENATE(IF('BP1'!H37&gt;0,TEXT('BP1'!H37,"0.00")&amp;" calendar month"&amp;IF('BP1'!H37&gt;1,"s",)&amp;" (or "&amp;TEXT('BP1'!H37/'BP1'!G37/ROUNDUP('BP1'!H37/'BP1'!G37,0),"0%")&amp;" calendar effort"&amp;IF('BP1'!H37&gt;12," each","")&amp;")",)),CONCATENATE(IF('BP1'!I37&gt;0,TEXT('BP1'!I37,"0.00")&amp;" academic month"&amp;IF('BP1'!I37&gt;1,"s",)&amp;" (or "&amp;TEXT('BP1'!I37/9,"0%")&amp;" academic effort)",),IF(AND('BP1'!I37&gt;0,'BP1'!J37&gt;0)," and ",),IF('BP1'!J37&gt;0,TEXT('BP1'!J37,"0.00")&amp;" summer month"&amp;IF('BP1'!J37&gt;1,"s",)&amp;" (or "&amp;TEXT('BP1'!J37/3,"0%")&amp;" summer effort)",))))),"")),"")</f>
        <v/>
      </c>
      <c r="J29" s="224" t="str">
        <f>IF(SUM('Cumulative Budget'!H37:J37)&gt;0,(IF('BP1'!$K$5&gt;1,((IF('BP2'!H37&gt;0,CONCATENATE(IF('BP2'!H37&gt;0,TEXT('BP2'!H37,"0.00")&amp;" calendar month"&amp;IF('BP2'!H37&gt;1,"s",)&amp;" (or "&amp;TEXT('BP2'!H37/'BP2'!G37/ROUNDUP('BP2'!H37/'BP2'!G37,0),"0%")&amp;" calendar effort"&amp;IF('BP2'!H37&gt;12," each","")&amp;")",)),CONCATENATE(IF('BP2'!I37&gt;0,TEXT('BP2'!I37,"0.00")&amp;" academic month"&amp;IF('BP2'!I37&gt;1,"s",)&amp;" (or "&amp;TEXT('BP2'!I37/9,"0%")&amp;" academic effort)",),IF(AND('BP2'!I37&gt;0,'BP2'!J37&gt;0)," and ",),IF('BP2'!J37&gt;0,TEXT('BP2'!J37,"0.00")&amp;" summer month"&amp;IF('BP2'!J37&gt;1,"s",)&amp;" (or "&amp;TEXT('BP2'!J37/3,"0%")&amp;" summer effort)",))))),"")),"")</f>
        <v/>
      </c>
      <c r="K29" s="224" t="str">
        <f>IF(SUM('Cumulative Budget'!H37:J37)&gt;0,(IF('BP1'!$K$5&gt;2,((IF('BP3'!H37&gt;0,CONCATENATE(IF('BP3'!H37&gt;0,TEXT('BP3'!H37,"0.00")&amp;" calendar month"&amp;IF('BP3'!H37&gt;1,"s",)&amp;" (or "&amp;TEXT('BP3'!H37/'BP3'!G37/ROUNDUP('BP3'!H37/'BP3'!G37,0),"0%")&amp;" calendar effort"&amp;IF('BP3'!H37&gt;12," each","")&amp;")",)),CONCATENATE(IF('BP3'!I37&gt;0,TEXT('BP3'!I37,"0.00")&amp;" academic month"&amp;IF('BP3'!I37&gt;1,"s",)&amp;" (or "&amp;TEXT('BP3'!I37/9,"0%")&amp;" academic effort)",),IF(AND('BP3'!I37&gt;0,'BP3'!J37&gt;0)," and ",),IF('BP3'!J37&gt;0,TEXT('BP3'!J37,"0.00")&amp;" summer month"&amp;IF('BP3'!J37&gt;1,"s",)&amp;" (or "&amp;TEXT('BP3'!J37/3,"0%")&amp;" summer effort)",))))),"")),"")</f>
        <v/>
      </c>
      <c r="L29" s="224" t="str">
        <f>IF(SUM('Cumulative Budget'!H37:J37)&gt;0,(IF('BP1'!$K$5&gt;3,((IF('BP4'!H37&gt;0,CONCATENATE(IF('BP4'!H37&gt;0,TEXT('BP4'!H37,"0.00")&amp;" calendar month"&amp;IF('BP4'!H37&gt;1,"s",)&amp;" (or "&amp;TEXT('BP4'!H37/'BP4'!G37/ROUNDUP('BP4'!H37/'BP4'!G37,0),"0%")&amp;" calendar effort"&amp;IF('BP4'!H37&gt;12," each","")&amp;")",)),CONCATENATE(IF('BP4'!I37&gt;0,TEXT('BP4'!I37,"0.00")&amp;" academic month"&amp;IF('BP4'!I37&gt;1,"s",)&amp;" (or "&amp;TEXT('BP4'!I37/9,"0%")&amp;" academic effort)",),IF(AND('BP4'!I37&gt;0,'BP4'!J37&gt;0)," and ",),IF('BP4'!J37&gt;0,TEXT('BP4'!J37,"0.00")&amp;" summer month"&amp;IF('BP4'!J37&gt;1,"s",)&amp;" (or "&amp;TEXT('BP4'!J37/3,"0%")&amp;" summer effort)",))))),"")),"")</f>
        <v/>
      </c>
      <c r="M29" s="224" t="str">
        <f>IF(SUM('Cumulative Budget'!H37:J37)&gt;0,(IF('BP1'!$K$5&gt;4,((IF('BP5'!H37&gt;0,CONCATENATE(IF('BP5'!H37&gt;0,TEXT('BP5'!H37,"0.00")&amp;" calendar month"&amp;IF('BP5'!H37&gt;1,"s",)&amp;" (or "&amp;TEXT('BP5'!H37/'BP5'!G37/ROUNDUP('BP5'!H37/'BP5'!G37,0),"0%")&amp;" calendar effort"&amp;IF('BP5'!H37&gt;12," each","")&amp;")",)),CONCATENATE(IF('BP5'!I37&gt;0,TEXT('BP5'!I37,"0.00")&amp;" academic month"&amp;IF('BP5'!I37&gt;1,"s",)&amp;" (or "&amp;TEXT('BP5'!I37/9,"0%")&amp;" academic effort)",),IF(AND('BP5'!I37&gt;0,'BP5'!J37&gt;0)," and ",),IF('BP5'!J37&gt;0,TEXT('BP5'!J37,"0.00")&amp;" summer month"&amp;IF('BP5'!J37&gt;1,"s",)&amp;" (or "&amp;TEXT('BP5'!J37/3,"0%")&amp;" summer effort)",))))),"")),"")</f>
        <v/>
      </c>
      <c r="N29" s="224" t="str">
        <f>IF(AND('BP1'!M37&gt;0,'BP1'!$A$5&gt;0),TEXT('BP1'!M37,"0.00")&amp;" cost-shared month"&amp;IF('BP1'!M37&gt;1,"s",)&amp;" (or "&amp;TEXT('BP1'!M37/'BP1'!G37/ROUNDUP('BP1'!M37/'BP1'!G37,0),"0%")&amp;" cost-shared effort"&amp;IF('BP1'!M37&gt;12," each","")&amp;")","")</f>
        <v/>
      </c>
      <c r="O29" s="224" t="str">
        <f>IF(AND('BP2'!M37&gt;0,'BP2'!$A$5&gt;0),TEXT('BP2'!M37,"0.00")&amp;" cost-shared month"&amp;IF('BP2'!M37&gt;1,"s",)&amp;" (or "&amp;TEXT('BP2'!M37/'BP2'!G37/ROUNDUP('BP2'!M37/'BP2'!G37,0),"0%")&amp;" cost-shared effort"&amp;IF('BP2'!M37&gt;12," each","")&amp;")","")</f>
        <v/>
      </c>
      <c r="P29" s="224" t="str">
        <f>IF(AND('BP3'!M37&gt;0,'BP3'!$A$5&gt;0),TEXT('BP3'!M37,"0.00")&amp;" cost-shared month"&amp;IF('BP3'!M37&gt;1,"s",)&amp;" (or "&amp;TEXT('BP3'!M37/'BP3'!G37/ROUNDUP('BP3'!M37/'BP3'!G37,0),"0%")&amp;" cost-shared effort"&amp;IF('BP3'!M37&gt;12," each","")&amp;")","")</f>
        <v/>
      </c>
      <c r="Q29" s="224" t="str">
        <f>IF(AND('BP4'!M37&gt;0,'BP4'!$A$5&gt;0),TEXT('BP4'!M37,"0.00")&amp;" cost-shared month"&amp;IF('BP4'!M37&gt;1,"s",)&amp;" (or "&amp;TEXT('BP4'!M37/'BP4'!G37/ROUNDUP('BP4'!M37/'BP4'!G37,0),"0%")&amp;" cost-shared effort"&amp;IF('BP4'!M37&gt;12," each","")&amp;")","")</f>
        <v/>
      </c>
      <c r="R29" s="224" t="str">
        <f>IF(AND('BP5'!M37&gt;0,'BP5'!$A$5&gt;0),TEXT('BP5'!M37,"0.00")&amp;" cost-shared month"&amp;IF('BP5'!M37&gt;1,"s",)&amp;" (or "&amp;TEXT('BP5'!M37/'BP5'!G37/ROUNDUP('BP5'!M37/'BP5'!G37,0),"0%")&amp;" cost-shared effort"&amp;IF('BP5'!M37&gt;12," each","")&amp;")","")</f>
        <v/>
      </c>
      <c r="S29" s="210" t="str">
        <f>IF(AND('BP1'!$K$5=2,I29&lt;&gt;J29),"Note: Effort changes in the outyears!","")&amp;IF(AND('BP1'!$K$5=3,OR(I29&lt;&gt;J29,I29&lt;&gt;K29,J29&lt;&gt;K29)),"Note: Effort changes in the outyears!","")&amp;IF(AND('BP1'!$K$5=4,OR(I29&lt;&gt;J29,I29&lt;&gt;K29,I29&lt;&gt;L29,J29&lt;&gt;K29,J29&lt;&gt;L29,K29&lt;&gt;L29)),"Note: Effort changes in the outyears!","")&amp;IF(AND('BP1'!$K$5=5,OR(I29&lt;&gt;J29,I29&lt;&gt;K29,I29&lt;&gt;L29,I29&lt;&gt;M29,J29&lt;&gt;K29,J29&lt;&gt;L29,J29&lt;&gt;M29,K29&lt;&gt;L29,K29&lt;&gt;M29,L29&lt;&gt;M29)),"Note: Effort changes in the outyears!","")</f>
        <v/>
      </c>
      <c r="T29" s="210" t="str">
        <f>IF(AND('BP1'!$K$5=2,N29&lt;&gt;O29),"Note: Effort changes in the outyears!","")&amp;IF(AND('BP1'!$K$5=3,OR(N29&lt;&gt;O29,N29&lt;&gt;P29,O29&lt;&gt;P29)),"Note: Effort changes in the outyears!","")&amp;IF(AND('BP1'!$K$5=4,OR(N29&lt;&gt;O29,N29&lt;&gt;P29,N29&lt;&gt;Q29,O29&lt;&gt;P29,O29&lt;&gt;Q29,P29&lt;&gt;Q29)),"Note: Effort changes in the outyears!","")&amp;IF(AND('BP1'!$K$5=5,OR(N29&lt;&gt;O29,N29&lt;&gt;P29,N29&lt;&gt;Q29,N29&lt;&gt;R29,O29&lt;&gt;P29,O29&lt;&gt;Q29,O29&lt;&gt;R29,P29&lt;&gt;Q29,P29&lt;&gt;R29,Q29&lt;&gt;R29)),"Note: Effort changes in the outyears!","")</f>
        <v/>
      </c>
      <c r="U29" s="561" t="str">
        <f t="shared" ca="1" si="1"/>
        <v>Blank</v>
      </c>
    </row>
    <row r="30" spans="1:21" ht="60" customHeight="1">
      <c r="A30" s="880" t="str">
        <f ca="1">IF('Cumulative Budget'!H38+'Cumulative Budget'!I38+'Cumulative Budget'!J38&gt;0,IF(S30="Note: Effort changes in the outyears!",IF(I30&lt;&gt;"",I30&amp;" in Budget Period 1","")&amp;IF(AND(I30&lt;&gt;"",J30&lt;&gt;""),"; ","")&amp;IF(J30&lt;&gt;"",J30&amp;" in Budget Period 2","")&amp;IF(AND(OR(I30&lt;&gt;"",J30&lt;&gt;""),K30&lt;&gt;""),"; ","")&amp;IF(K30&lt;&gt;"",K30&amp;" in Budget Period 3","")&amp;IF(AND(OR(I30&lt;&gt;"",J30&lt;&gt;"",K30&lt;&gt;""),L30&lt;&gt;""),"; ","")&amp;IF(L30&lt;&gt;"",L30&amp;" in Budget Period 4","")&amp;IF(AND(OR(I30&lt;&gt;"",J30&lt;&gt;"",K30&lt;&gt;"",L30&lt;&gt;""),M30&lt;&gt;""),"; ","")&amp;IF(M30&lt;&gt;"",M30&amp;" in Budget Period 5","")&amp;" for "&amp;ROUNDUP('BP1'!H38/'BP1'!G38,0)&amp;" "&amp;'BP1'!D38&amp;" is requested. ",I30&amp;" for "&amp;ROUNDUP('BP1'!H38/'BP1'!G38,0)&amp;" "&amp;'BP1'!D38&amp;" is requested"&amp;IF('BP1'!$K$5&gt;1," each budget period for "&amp;'BP1'!$K$5&amp;" budget periods. ",". ")),"")&amp;IF('Cumulative Budget'!N38&gt;0,IF(T30="Note: Effort changes in the outyears!",IF(N30&lt;&gt;"",N30&amp;" in Budget Period 1","")&amp;IF(AND(N30&lt;&gt;"",O30&lt;&gt;""),"; ","")&amp;IF(O30&lt;&gt;"",O30&amp;" in Budget Period 2","")&amp;IF(AND(OR(N30&lt;&gt;"",O30&lt;&gt;""),P30&lt;&gt;""),"; ","")&amp;IF(P30&lt;&gt;"",P30&amp;" in Budget Period 3","")&amp;IF(AND(OR(N30&lt;&gt;"",O30&lt;&gt;"",P30&lt;&gt;""),Q30&lt;&gt;""),"; ","")&amp;IF(Q30&lt;&gt;"",Q30&amp;" in Budget Period 4","")&amp;IF(AND(OR(N30&lt;&gt;"",O30&lt;&gt;"",P30&lt;&gt;"",Q30&lt;&gt;""),R30&lt;&gt;""),"; ","")&amp;IF(R30&lt;&gt;"",R30&amp;" in Budget Period 5","")&amp;" for "&amp;ROUNDUP('BP1'!M38/'BP1'!G38,0)&amp;" "&amp;'BP1'!D38&amp;" is requested. ",N30&amp;" for "&amp;ROUNDUP('BP1'!M38/'BP1'!G38,0)&amp;" "&amp;'BP1'!D38&amp;" is requested"&amp;IF('BP1'!$K$5&gt;1," each budget period for "&amp;'BP1'!$K$5&amp;" budget periods. ",". ")),"")&amp;IF(AND('BP1'!$K$5&gt;1,'BP1'!$K$7&gt;0,OR('Cumulative Budget'!H38+'Cumulative Budget'!M38&gt;0)),"Salary is inflated by "&amp;('BP1'!$K$7*100)&amp;"% annually each September. ","")&amp;IF(ISBLANK('BP1'!Q38),"",'BP1'!Q38)</f>
        <v/>
      </c>
      <c r="B30" s="880"/>
      <c r="C30" s="880"/>
      <c r="D30" s="880"/>
      <c r="E30" s="880"/>
      <c r="F30" s="880"/>
      <c r="G30" s="880"/>
      <c r="H30" s="880"/>
      <c r="I30" s="224" t="str">
        <f>IF(SUM('Cumulative Budget'!H38:J38)&gt;0,(IF('BP1'!$K$5&gt;0,((IF('BP1'!H38&gt;0,CONCATENATE(IF('BP1'!H38&gt;0,TEXT('BP1'!H38,"0.00")&amp;" calendar month"&amp;IF('BP1'!H38&gt;1,"s",)&amp;" (or "&amp;TEXT('BP1'!H38/'BP1'!G38/ROUNDUP('BP1'!H38/'BP1'!G38,0),"0%")&amp;" calendar effort"&amp;IF('BP1'!H38&gt;12," each","")&amp;")",)),CONCATENATE(IF('BP1'!I38&gt;0,TEXT('BP1'!I38,"0.00")&amp;" academic month"&amp;IF('BP1'!I38&gt;1,"s",)&amp;" (or "&amp;TEXT('BP1'!I38/9,"0%")&amp;" academic effort)",),IF(AND('BP1'!I38&gt;0,'BP1'!J38&gt;0)," and ",),IF('BP1'!J38&gt;0,TEXT('BP1'!J38,"0.00")&amp;" summer month"&amp;IF('BP1'!J38&gt;1,"s",)&amp;" (or "&amp;TEXT('BP1'!J38/3,"0%")&amp;" summer effort)",))))),"")),"")</f>
        <v/>
      </c>
      <c r="J30" s="224" t="str">
        <f>IF(SUM('Cumulative Budget'!H38:J38)&gt;0,(IF('BP1'!$K$5&gt;1,((IF('BP2'!H38&gt;0,CONCATENATE(IF('BP2'!H38&gt;0,TEXT('BP2'!H38,"0.00")&amp;" calendar month"&amp;IF('BP2'!H38&gt;1,"s",)&amp;" (or "&amp;TEXT('BP2'!H38/'BP2'!G38/ROUNDUP('BP2'!H38/'BP2'!G38,0),"0%")&amp;" calendar effort"&amp;IF('BP2'!H38&gt;12," each","")&amp;")",)),CONCATENATE(IF('BP2'!I38&gt;0,TEXT('BP2'!I38,"0.00")&amp;" academic month"&amp;IF('BP2'!I38&gt;1,"s",)&amp;" (or "&amp;TEXT('BP2'!I38/9,"0%")&amp;" academic effort)",),IF(AND('BP2'!I38&gt;0,'BP2'!J38&gt;0)," and ",),IF('BP2'!J38&gt;0,TEXT('BP2'!J38,"0.00")&amp;" summer month"&amp;IF('BP2'!J38&gt;1,"s",)&amp;" (or "&amp;TEXT('BP2'!J38/3,"0%")&amp;" summer effort)",))))),"")),"")</f>
        <v/>
      </c>
      <c r="K30" s="224" t="str">
        <f>IF(SUM('Cumulative Budget'!H38:J38)&gt;0,(IF('BP1'!$K$5&gt;2,((IF('BP3'!H38&gt;0,CONCATENATE(IF('BP3'!H38&gt;0,TEXT('BP3'!H38,"0.00")&amp;" calendar month"&amp;IF('BP3'!H38&gt;1,"s",)&amp;" (or "&amp;TEXT('BP3'!H38/'BP3'!G38/ROUNDUP('BP3'!H38/'BP3'!G38,0),"0%")&amp;" calendar effort"&amp;IF('BP3'!H38&gt;12," each","")&amp;")",)),CONCATENATE(IF('BP3'!I38&gt;0,TEXT('BP3'!I38,"0.00")&amp;" academic month"&amp;IF('BP3'!I38&gt;1,"s",)&amp;" (or "&amp;TEXT('BP3'!I38/9,"0%")&amp;" academic effort)",),IF(AND('BP3'!I38&gt;0,'BP3'!J38&gt;0)," and ",),IF('BP3'!J38&gt;0,TEXT('BP3'!J38,"0.00")&amp;" summer month"&amp;IF('BP3'!J38&gt;1,"s",)&amp;" (or "&amp;TEXT('BP3'!J38/3,"0%")&amp;" summer effort)",))))),"")),"")</f>
        <v/>
      </c>
      <c r="L30" s="224" t="str">
        <f>IF(SUM('Cumulative Budget'!H38:J38)&gt;0,(IF('BP1'!$K$5&gt;3,((IF('BP4'!H38&gt;0,CONCATENATE(IF('BP4'!H38&gt;0,TEXT('BP4'!H38,"0.00")&amp;" calendar month"&amp;IF('BP4'!H38&gt;1,"s",)&amp;" (or "&amp;TEXT('BP4'!H38/'BP4'!G38/ROUNDUP('BP4'!H38/'BP4'!G38,0),"0%")&amp;" calendar effort"&amp;IF('BP4'!H38&gt;12," each","")&amp;")",)),CONCATENATE(IF('BP4'!I38&gt;0,TEXT('BP4'!I38,"0.00")&amp;" academic month"&amp;IF('BP4'!I38&gt;1,"s",)&amp;" (or "&amp;TEXT('BP4'!I38/9,"0%")&amp;" academic effort)",),IF(AND('BP4'!I38&gt;0,'BP4'!J38&gt;0)," and ",),IF('BP4'!J38&gt;0,TEXT('BP4'!J38,"0.00")&amp;" summer month"&amp;IF('BP4'!J38&gt;1,"s",)&amp;" (or "&amp;TEXT('BP4'!J38/3,"0%")&amp;" summer effort)",))))),"")),"")</f>
        <v/>
      </c>
      <c r="M30" s="224" t="str">
        <f>IF(SUM('Cumulative Budget'!H38:J38)&gt;0,(IF('BP1'!$K$5&gt;4,((IF('BP5'!H38&gt;0,CONCATENATE(IF('BP5'!H38&gt;0,TEXT('BP5'!H38,"0.00")&amp;" calendar month"&amp;IF('BP5'!H38&gt;1,"s",)&amp;" (or "&amp;TEXT('BP5'!H38/'BP5'!G38/ROUNDUP('BP5'!H38/'BP5'!G38,0),"0%")&amp;" calendar effort"&amp;IF('BP5'!H38&gt;12," each","")&amp;")",)),CONCATENATE(IF('BP5'!I38&gt;0,TEXT('BP5'!I38,"0.00")&amp;" academic month"&amp;IF('BP5'!I38&gt;1,"s",)&amp;" (or "&amp;TEXT('BP5'!I38/9,"0%")&amp;" academic effort)",),IF(AND('BP5'!I38&gt;0,'BP5'!J38&gt;0)," and ",),IF('BP5'!J38&gt;0,TEXT('BP5'!J38,"0.00")&amp;" summer month"&amp;IF('BP5'!J38&gt;1,"s",)&amp;" (or "&amp;TEXT('BP5'!J38/3,"0%")&amp;" summer effort)",))))),"")),"")</f>
        <v/>
      </c>
      <c r="N30" s="224" t="str">
        <f>IF(AND('BP1'!M38&gt;0,'BP1'!$A$5&gt;0),TEXT('BP1'!M38,"0.00")&amp;" cost-shared month"&amp;IF('BP1'!M38&gt;1,"s",)&amp;" (or "&amp;TEXT('BP1'!M38/'BP1'!G38/ROUNDUP('BP1'!M38/'BP1'!G38,0),"0%")&amp;" cost-shared effort"&amp;IF('BP1'!M38&gt;12," each","")&amp;")","")</f>
        <v/>
      </c>
      <c r="O30" s="224" t="str">
        <f>IF(AND('BP2'!M38&gt;0,'BP2'!$A$5&gt;0),TEXT('BP2'!M38,"0.00")&amp;" cost-shared month"&amp;IF('BP2'!M38&gt;1,"s",)&amp;" (or "&amp;TEXT('BP2'!M38/'BP2'!G38/ROUNDUP('BP2'!M38/'BP2'!G38,0),"0%")&amp;" cost-shared effort"&amp;IF('BP2'!M38&gt;12," each","")&amp;")","")</f>
        <v/>
      </c>
      <c r="P30" s="224" t="str">
        <f>IF(AND('BP3'!M38&gt;0,'BP3'!$A$5&gt;0),TEXT('BP3'!M38,"0.00")&amp;" cost-shared month"&amp;IF('BP3'!M38&gt;1,"s",)&amp;" (or "&amp;TEXT('BP3'!M38/'BP3'!G38/ROUNDUP('BP3'!M38/'BP3'!G38,0),"0%")&amp;" cost-shared effort"&amp;IF('BP3'!M38&gt;12," each","")&amp;")","")</f>
        <v/>
      </c>
      <c r="Q30" s="224" t="str">
        <f>IF(AND('BP4'!M38&gt;0,'BP4'!$A$5&gt;0),TEXT('BP4'!M38,"0.00")&amp;" cost-shared month"&amp;IF('BP4'!M38&gt;1,"s",)&amp;" (or "&amp;TEXT('BP4'!M38/'BP4'!G38/ROUNDUP('BP4'!M38/'BP4'!G38,0),"0%")&amp;" cost-shared effort"&amp;IF('BP4'!M38&gt;12," each","")&amp;")","")</f>
        <v/>
      </c>
      <c r="R30" s="224" t="str">
        <f>IF(AND('BP5'!M38&gt;0,'BP5'!$A$5&gt;0),TEXT('BP5'!M38,"0.00")&amp;" cost-shared month"&amp;IF('BP5'!M38&gt;1,"s",)&amp;" (or "&amp;TEXT('BP5'!M38/'BP5'!G38/ROUNDUP('BP5'!M38/'BP5'!G38,0),"0%")&amp;" cost-shared effort"&amp;IF('BP5'!M38&gt;12," each","")&amp;")","")</f>
        <v/>
      </c>
      <c r="S30" s="210" t="str">
        <f>IF(AND('BP1'!$K$5=2,I30&lt;&gt;J30),"Note: Effort changes in the outyears!","")&amp;IF(AND('BP1'!$K$5=3,OR(I30&lt;&gt;J30,I30&lt;&gt;K30,J30&lt;&gt;K30)),"Note: Effort changes in the outyears!","")&amp;IF(AND('BP1'!$K$5=4,OR(I30&lt;&gt;J30,I30&lt;&gt;K30,I30&lt;&gt;L30,J30&lt;&gt;K30,J30&lt;&gt;L30,K30&lt;&gt;L30)),"Note: Effort changes in the outyears!","")&amp;IF(AND('BP1'!$K$5=5,OR(I30&lt;&gt;J30,I30&lt;&gt;K30,I30&lt;&gt;L30,I30&lt;&gt;M30,J30&lt;&gt;K30,J30&lt;&gt;L30,J30&lt;&gt;M30,K30&lt;&gt;L30,K30&lt;&gt;M30,L30&lt;&gt;M30)),"Note: Effort changes in the outyears!","")</f>
        <v/>
      </c>
      <c r="T30" s="210" t="str">
        <f>IF(AND('BP1'!$K$5=2,N30&lt;&gt;O30),"Note: Effort changes in the outyears!","")&amp;IF(AND('BP1'!$K$5=3,OR(N30&lt;&gt;O30,N30&lt;&gt;P30,O30&lt;&gt;P30)),"Note: Effort changes in the outyears!","")&amp;IF(AND('BP1'!$K$5=4,OR(N30&lt;&gt;O30,N30&lt;&gt;P30,N30&lt;&gt;Q30,O30&lt;&gt;P30,O30&lt;&gt;Q30,P30&lt;&gt;Q30)),"Note: Effort changes in the outyears!","")&amp;IF(AND('BP1'!$K$5=5,OR(N30&lt;&gt;O30,N30&lt;&gt;P30,N30&lt;&gt;Q30,N30&lt;&gt;R30,O30&lt;&gt;P30,O30&lt;&gt;Q30,O30&lt;&gt;R30,P30&lt;&gt;Q30,P30&lt;&gt;R30,Q30&lt;&gt;R30)),"Note: Effort changes in the outyears!","")</f>
        <v/>
      </c>
      <c r="U30" s="561" t="str">
        <f t="shared" ca="1" si="1"/>
        <v>Blank</v>
      </c>
    </row>
    <row r="31" spans="1:21" ht="60" customHeight="1">
      <c r="A31" s="880" t="str">
        <f ca="1">IF('Cumulative Budget'!H39+'Cumulative Budget'!I39+'Cumulative Budget'!J39&gt;0,IF(S31="Note: Effort changes in the outyears!",IF(I31&lt;&gt;"",I31&amp;" in Budget Period 1","")&amp;IF(AND(I31&lt;&gt;"",J31&lt;&gt;""),"; ","")&amp;IF(J31&lt;&gt;"",J31&amp;" in Budget Period 2","")&amp;IF(AND(OR(I31&lt;&gt;"",J31&lt;&gt;""),K31&lt;&gt;""),"; ","")&amp;IF(K31&lt;&gt;"",K31&amp;" in Budget Period 3","")&amp;IF(AND(OR(I31&lt;&gt;"",J31&lt;&gt;"",K31&lt;&gt;""),L31&lt;&gt;""),"; ","")&amp;IF(L31&lt;&gt;"",L31&amp;" in Budget Period 4","")&amp;IF(AND(OR(I31&lt;&gt;"",J31&lt;&gt;"",K31&lt;&gt;"",L31&lt;&gt;""),M31&lt;&gt;""),"; ","")&amp;IF(M31&lt;&gt;"",M31&amp;" in Budget Period 5","")&amp;" for "&amp;ROUNDUP('BP1'!H39/'BP1'!G39,0)&amp;" "&amp;'BP1'!D39&amp;" is requested. ",I31&amp;" for "&amp;ROUNDUP('BP1'!H39/'BP1'!G39,0)&amp;" "&amp;'BP1'!D39&amp;" is requested"&amp;IF('BP1'!$K$5&gt;1," each budget period for "&amp;'BP1'!$K$5&amp;" budget periods. ",". ")),"")&amp;IF('Cumulative Budget'!N39&gt;0,IF(T31="Note: Effort changes in the outyears!",IF(N31&lt;&gt;"",N31&amp;" in Budget Period 1","")&amp;IF(AND(N31&lt;&gt;"",O31&lt;&gt;""),"; ","")&amp;IF(O31&lt;&gt;"",O31&amp;" in Budget Period 2","")&amp;IF(AND(OR(N31&lt;&gt;"",O31&lt;&gt;""),P31&lt;&gt;""),"; ","")&amp;IF(P31&lt;&gt;"",P31&amp;" in Budget Period 3","")&amp;IF(AND(OR(N31&lt;&gt;"",O31&lt;&gt;"",P31&lt;&gt;""),Q31&lt;&gt;""),"; ","")&amp;IF(Q31&lt;&gt;"",Q31&amp;" in Budget Period 4","")&amp;IF(AND(OR(N31&lt;&gt;"",O31&lt;&gt;"",P31&lt;&gt;"",Q31&lt;&gt;""),R31&lt;&gt;""),"; ","")&amp;IF(R31&lt;&gt;"",R31&amp;" in Budget Period 5","")&amp;" for "&amp;ROUNDUP('BP1'!M39/'BP1'!G39,0)&amp;" "&amp;'BP1'!D39&amp;" is requested. ",N31&amp;" for "&amp;ROUNDUP('BP1'!M39/'BP1'!G39,0)&amp;" "&amp;'BP1'!D39&amp;" is requested"&amp;IF('BP1'!$K$5&gt;1," each budget period for "&amp;'BP1'!$K$5&amp;" budget periods. ",". ")),"")&amp;IF(AND('BP1'!$K$5&gt;1,'BP1'!$K$7&gt;0,OR('Cumulative Budget'!H39+'Cumulative Budget'!M39&gt;0)),"Salary is inflated by "&amp;('BP1'!$K$7*100)&amp;"% annually each September. ","")&amp;IF(ISBLANK('BP1'!Q39),"",'BP1'!Q39)</f>
        <v/>
      </c>
      <c r="B31" s="880"/>
      <c r="C31" s="880"/>
      <c r="D31" s="880"/>
      <c r="E31" s="880"/>
      <c r="F31" s="880"/>
      <c r="G31" s="880"/>
      <c r="H31" s="880"/>
      <c r="I31" s="224" t="str">
        <f>IF(SUM('Cumulative Budget'!H39:J39)&gt;0,(IF('BP1'!$K$5&gt;0,((IF('BP1'!H39&gt;0,CONCATENATE(IF('BP1'!H39&gt;0,TEXT('BP1'!H39,"0.00")&amp;" calendar month"&amp;IF('BP1'!H39&gt;1,"s",)&amp;" (or "&amp;TEXT('BP1'!H39/'BP1'!G39/ROUNDUP('BP1'!H39/'BP1'!G39,0),"0%")&amp;" calendar effort"&amp;IF('BP1'!H39&gt;12," each","")&amp;")",)),CONCATENATE(IF('BP1'!I39&gt;0,TEXT('BP1'!I39,"0.00")&amp;" academic month"&amp;IF('BP1'!I39&gt;1,"s",)&amp;" (or "&amp;TEXT('BP1'!I39/9,"0%")&amp;" academic effort)",),IF(AND('BP1'!I39&gt;0,'BP1'!J39&gt;0)," and ",),IF('BP1'!J39&gt;0,TEXT('BP1'!J39,"0.00")&amp;" summer month"&amp;IF('BP1'!J39&gt;1,"s",)&amp;" (or "&amp;TEXT('BP1'!J39/3,"0%")&amp;" summer effort)",))))),"")),"")</f>
        <v/>
      </c>
      <c r="J31" s="224" t="str">
        <f>IF(SUM('Cumulative Budget'!H39:J39)&gt;0,(IF('BP1'!$K$5&gt;1,((IF('BP2'!H39&gt;0,CONCATENATE(IF('BP2'!H39&gt;0,TEXT('BP2'!H39,"0.00")&amp;" calendar month"&amp;IF('BP2'!H39&gt;1,"s",)&amp;" (or "&amp;TEXT('BP2'!H39/'BP2'!G39/ROUNDUP('BP2'!H39/'BP2'!G39,0),"0%")&amp;" calendar effort"&amp;IF('BP2'!H39&gt;12," each","")&amp;")",)),CONCATENATE(IF('BP2'!I39&gt;0,TEXT('BP2'!I39,"0.00")&amp;" academic month"&amp;IF('BP2'!I39&gt;1,"s",)&amp;" (or "&amp;TEXT('BP2'!I39/9,"0%")&amp;" academic effort)",),IF(AND('BP2'!I39&gt;0,'BP2'!J39&gt;0)," and ",),IF('BP2'!J39&gt;0,TEXT('BP2'!J39,"0.00")&amp;" summer month"&amp;IF('BP2'!J39&gt;1,"s",)&amp;" (or "&amp;TEXT('BP2'!J39/3,"0%")&amp;" summer effort)",))))),"")),"")</f>
        <v/>
      </c>
      <c r="K31" s="224" t="str">
        <f>IF(SUM('Cumulative Budget'!H39:J39)&gt;0,(IF('BP1'!$K$5&gt;2,((IF('BP3'!H39&gt;0,CONCATENATE(IF('BP3'!H39&gt;0,TEXT('BP3'!H39,"0.00")&amp;" calendar month"&amp;IF('BP3'!H39&gt;1,"s",)&amp;" (or "&amp;TEXT('BP3'!H39/'BP3'!G39/ROUNDUP('BP3'!H39/'BP3'!G39,0),"0%")&amp;" calendar effort"&amp;IF('BP3'!H39&gt;12," each","")&amp;")",)),CONCATENATE(IF('BP3'!I39&gt;0,TEXT('BP3'!I39,"0.00")&amp;" academic month"&amp;IF('BP3'!I39&gt;1,"s",)&amp;" (or "&amp;TEXT('BP3'!I39/9,"0%")&amp;" academic effort)",),IF(AND('BP3'!I39&gt;0,'BP3'!J39&gt;0)," and ",),IF('BP3'!J39&gt;0,TEXT('BP3'!J39,"0.00")&amp;" summer month"&amp;IF('BP3'!J39&gt;1,"s",)&amp;" (or "&amp;TEXT('BP3'!J39/3,"0%")&amp;" summer effort)",))))),"")),"")</f>
        <v/>
      </c>
      <c r="L31" s="224" t="str">
        <f>IF(SUM('Cumulative Budget'!H39:J39)&gt;0,(IF('BP1'!$K$5&gt;3,((IF('BP4'!H39&gt;0,CONCATENATE(IF('BP4'!H39&gt;0,TEXT('BP4'!H39,"0.00")&amp;" calendar month"&amp;IF('BP4'!H39&gt;1,"s",)&amp;" (or "&amp;TEXT('BP4'!H39/'BP4'!G39/ROUNDUP('BP4'!H39/'BP4'!G39,0),"0%")&amp;" calendar effort"&amp;IF('BP4'!H39&gt;12," each","")&amp;")",)),CONCATENATE(IF('BP4'!I39&gt;0,TEXT('BP4'!I39,"0.00")&amp;" academic month"&amp;IF('BP4'!I39&gt;1,"s",)&amp;" (or "&amp;TEXT('BP4'!I39/9,"0%")&amp;" academic effort)",),IF(AND('BP4'!I39&gt;0,'BP4'!J39&gt;0)," and ",),IF('BP4'!J39&gt;0,TEXT('BP4'!J39,"0.00")&amp;" summer month"&amp;IF('BP4'!J39&gt;1,"s",)&amp;" (or "&amp;TEXT('BP4'!J39/3,"0%")&amp;" summer effort)",))))),"")),"")</f>
        <v/>
      </c>
      <c r="M31" s="224" t="str">
        <f>IF(SUM('Cumulative Budget'!H39:J39)&gt;0,(IF('BP1'!$K$5&gt;4,((IF('BP5'!H39&gt;0,CONCATENATE(IF('BP5'!H39&gt;0,TEXT('BP5'!H39,"0.00")&amp;" calendar month"&amp;IF('BP5'!H39&gt;1,"s",)&amp;" (or "&amp;TEXT('BP5'!H39/'BP5'!G39/ROUNDUP('BP5'!H39/'BP5'!G39,0),"0%")&amp;" calendar effort"&amp;IF('BP5'!H39&gt;12," each","")&amp;")",)),CONCATENATE(IF('BP5'!I39&gt;0,TEXT('BP5'!I39,"0.00")&amp;" academic month"&amp;IF('BP5'!I39&gt;1,"s",)&amp;" (or "&amp;TEXT('BP5'!I39/9,"0%")&amp;" academic effort)",),IF(AND('BP5'!I39&gt;0,'BP5'!J39&gt;0)," and ",),IF('BP5'!J39&gt;0,TEXT('BP5'!J39,"0.00")&amp;" summer month"&amp;IF('BP5'!J39&gt;1,"s",)&amp;" (or "&amp;TEXT('BP5'!J39/3,"0%")&amp;" summer effort)",))))),"")),"")</f>
        <v/>
      </c>
      <c r="N31" s="224" t="str">
        <f>IF(AND('BP1'!M39&gt;0,'BP1'!$A$5&gt;0),TEXT('BP1'!M39,"0.00")&amp;" cost-shared month"&amp;IF('BP1'!M39&gt;1,"s",)&amp;" (or "&amp;TEXT('BP1'!M39/'BP1'!G39/ROUNDUP('BP1'!M39/'BP1'!G39,0),"0%")&amp;" cost-shared effort"&amp;IF('BP1'!M39&gt;12," each","")&amp;")","")</f>
        <v/>
      </c>
      <c r="O31" s="224" t="str">
        <f>IF(AND('BP2'!M39&gt;0,'BP2'!$A$5&gt;0),TEXT('BP2'!M39,"0.00")&amp;" cost-shared month"&amp;IF('BP2'!M39&gt;1,"s",)&amp;" (or "&amp;TEXT('BP2'!M39/'BP2'!G39/ROUNDUP('BP2'!M39/'BP2'!G39,0),"0%")&amp;" cost-shared effort"&amp;IF('BP2'!M39&gt;12," each","")&amp;")","")</f>
        <v/>
      </c>
      <c r="P31" s="224" t="str">
        <f>IF(AND('BP3'!M39&gt;0,'BP3'!$A$5&gt;0),TEXT('BP3'!M39,"0.00")&amp;" cost-shared month"&amp;IF('BP3'!M39&gt;1,"s",)&amp;" (or "&amp;TEXT('BP3'!M39/'BP3'!G39/ROUNDUP('BP3'!M39/'BP3'!G39,0),"0%")&amp;" cost-shared effort"&amp;IF('BP3'!M39&gt;12," each","")&amp;")","")</f>
        <v/>
      </c>
      <c r="Q31" s="224" t="str">
        <f>IF(AND('BP4'!M39&gt;0,'BP4'!$A$5&gt;0),TEXT('BP4'!M39,"0.00")&amp;" cost-shared month"&amp;IF('BP4'!M39&gt;1,"s",)&amp;" (or "&amp;TEXT('BP4'!M39/'BP4'!G39/ROUNDUP('BP4'!M39/'BP4'!G39,0),"0%")&amp;" cost-shared effort"&amp;IF('BP4'!M39&gt;12," each","")&amp;")","")</f>
        <v/>
      </c>
      <c r="R31" s="224" t="str">
        <f>IF(AND('BP5'!M39&gt;0,'BP5'!$A$5&gt;0),TEXT('BP5'!M39,"0.00")&amp;" cost-shared month"&amp;IF('BP5'!M39&gt;1,"s",)&amp;" (or "&amp;TEXT('BP5'!M39/'BP5'!G39/ROUNDUP('BP5'!M39/'BP5'!G39,0),"0%")&amp;" cost-shared effort"&amp;IF('BP5'!M39&gt;12," each","")&amp;")","")</f>
        <v/>
      </c>
      <c r="S31" s="210" t="str">
        <f>IF(AND('BP1'!$K$5=2,I31&lt;&gt;J31),"Note: Effort changes in the outyears!","")&amp;IF(AND('BP1'!$K$5=3,OR(I31&lt;&gt;J31,I31&lt;&gt;K31,J31&lt;&gt;K31)),"Note: Effort changes in the outyears!","")&amp;IF(AND('BP1'!$K$5=4,OR(I31&lt;&gt;J31,I31&lt;&gt;K31,I31&lt;&gt;L31,J31&lt;&gt;K31,J31&lt;&gt;L31,K31&lt;&gt;L31)),"Note: Effort changes in the outyears!","")&amp;IF(AND('BP1'!$K$5=5,OR(I31&lt;&gt;J31,I31&lt;&gt;K31,I31&lt;&gt;L31,I31&lt;&gt;M31,J31&lt;&gt;K31,J31&lt;&gt;L31,J31&lt;&gt;M31,K31&lt;&gt;L31,K31&lt;&gt;M31,L31&lt;&gt;M31)),"Note: Effort changes in the outyears!","")</f>
        <v/>
      </c>
      <c r="T31" s="210" t="str">
        <f>IF(AND('BP1'!$K$5=2,N31&lt;&gt;O31),"Note: Effort changes in the outyears!","")&amp;IF(AND('BP1'!$K$5=3,OR(N31&lt;&gt;O31,N31&lt;&gt;P31,O31&lt;&gt;P31)),"Note: Effort changes in the outyears!","")&amp;IF(AND('BP1'!$K$5=4,OR(N31&lt;&gt;O31,N31&lt;&gt;P31,N31&lt;&gt;Q31,O31&lt;&gt;P31,O31&lt;&gt;Q31,P31&lt;&gt;Q31)),"Note: Effort changes in the outyears!","")&amp;IF(AND('BP1'!$K$5=5,OR(N31&lt;&gt;O31,N31&lt;&gt;P31,N31&lt;&gt;Q31,N31&lt;&gt;R31,O31&lt;&gt;P31,O31&lt;&gt;Q31,O31&lt;&gt;R31,P31&lt;&gt;Q31,P31&lt;&gt;R31,Q31&lt;&gt;R31)),"Note: Effort changes in the outyears!","")</f>
        <v/>
      </c>
      <c r="U31" s="561" t="str">
        <f t="shared" ca="1" si="1"/>
        <v>Blank</v>
      </c>
    </row>
    <row r="32" spans="1:21" ht="60" customHeight="1">
      <c r="A32" s="880" t="str">
        <f ca="1">IF('Cumulative Budget'!H40+'Cumulative Budget'!I40+'Cumulative Budget'!J40&gt;0,IF(S32="Note: Effort changes in the outyears!",IF(I32&lt;&gt;"",I32&amp;" in Budget Period 1","")&amp;IF(AND(I32&lt;&gt;"",J32&lt;&gt;""),"; ","")&amp;IF(J32&lt;&gt;"",J32&amp;" in Budget Period 2","")&amp;IF(AND(OR(I32&lt;&gt;"",J32&lt;&gt;""),K32&lt;&gt;""),"; ","")&amp;IF(K32&lt;&gt;"",K32&amp;" in Budget Period 3","")&amp;IF(AND(OR(I32&lt;&gt;"",J32&lt;&gt;"",K32&lt;&gt;""),L32&lt;&gt;""),"; ","")&amp;IF(L32&lt;&gt;"",L32&amp;" in Budget Period 4","")&amp;IF(AND(OR(I32&lt;&gt;"",J32&lt;&gt;"",K32&lt;&gt;"",L32&lt;&gt;""),M32&lt;&gt;""),"; ","")&amp;IF(M32&lt;&gt;"",M32&amp;" in Budget Period 5","")&amp;" for "&amp;ROUNDUP('BP1'!H40/'BP1'!G40,0)&amp;" "&amp;'BP1'!D40&amp;" is requested. ",I32&amp;" for "&amp;ROUNDUP('BP1'!H40/'BP1'!G40,0)&amp;" "&amp;'BP1'!D40&amp;" is requested"&amp;IF('BP1'!$K$5&gt;1," each budget period for "&amp;'BP1'!$K$5&amp;" budget periods. ",". ")),"")&amp;IF('Cumulative Budget'!N40&gt;0,IF(T32="Note: Effort changes in the outyears!",IF(N32&lt;&gt;"",N32&amp;" in Budget Period 1","")&amp;IF(AND(N32&lt;&gt;"",O32&lt;&gt;""),"; ","")&amp;IF(O32&lt;&gt;"",O32&amp;" in Budget Period 2","")&amp;IF(AND(OR(N32&lt;&gt;"",O32&lt;&gt;""),P32&lt;&gt;""),"; ","")&amp;IF(P32&lt;&gt;"",P32&amp;" in Budget Period 3","")&amp;IF(AND(OR(N32&lt;&gt;"",O32&lt;&gt;"",P32&lt;&gt;""),Q32&lt;&gt;""),"; ","")&amp;IF(Q32&lt;&gt;"",Q32&amp;" in Budget Period 4","")&amp;IF(AND(OR(N32&lt;&gt;"",O32&lt;&gt;"",P32&lt;&gt;"",Q32&lt;&gt;""),R32&lt;&gt;""),"; ","")&amp;IF(R32&lt;&gt;"",R32&amp;" in Budget Period 5","")&amp;" for "&amp;ROUNDUP('BP1'!M40/'BP1'!G40,0)&amp;" "&amp;'BP1'!D40&amp;" is requested. ",N32&amp;" for "&amp;ROUNDUP('BP1'!M40/'BP1'!G40,0)&amp;" "&amp;'BP1'!D40&amp;" is requested"&amp;IF('BP1'!$K$5&gt;1," each budget period for "&amp;'BP1'!$K$5&amp;" budget periods. ",". ")),"")&amp;IF(AND('BP1'!$K$5&gt;1,'BP1'!$K$7&gt;0,OR('Cumulative Budget'!H40+'Cumulative Budget'!M40&gt;0)),"Salary is inflated by "&amp;('BP1'!$K$7*100)&amp;"% annually each September. ","")&amp;IF(ISBLANK('BP1'!Q40),"",'BP1'!Q40)</f>
        <v/>
      </c>
      <c r="B32" s="880"/>
      <c r="C32" s="880"/>
      <c r="D32" s="880"/>
      <c r="E32" s="880"/>
      <c r="F32" s="880"/>
      <c r="G32" s="880"/>
      <c r="H32" s="880"/>
      <c r="I32" s="224" t="str">
        <f>IF(SUM('Cumulative Budget'!H40:J40)&gt;0,(IF('BP1'!$K$5&gt;0,((IF('BP1'!H40&gt;0,CONCATENATE(IF('BP1'!H40&gt;0,TEXT('BP1'!H40,"0.00")&amp;" calendar month"&amp;IF('BP1'!H40&gt;1,"s",)&amp;" (or "&amp;TEXT('BP1'!H40/'BP1'!G40/ROUNDUP('BP1'!H40/'BP1'!G40,0),"0%")&amp;" calendar effort"&amp;IF('BP1'!H40&gt;12," each","")&amp;")",)),CONCATENATE(IF('BP1'!I40&gt;0,TEXT('BP1'!I40,"0.00")&amp;" academic month"&amp;IF('BP1'!I40&gt;1,"s",)&amp;" (or "&amp;TEXT('BP1'!I40/9,"0%")&amp;" academic effort)",),IF(AND('BP1'!I40&gt;0,'BP1'!J40&gt;0)," and ",),IF('BP1'!J40&gt;0,TEXT('BP1'!J40,"0.00")&amp;" summer month"&amp;IF('BP1'!J40&gt;1,"s",)&amp;" (or "&amp;TEXT('BP1'!J40/3,"0%")&amp;" summer effort)",))))),"")),"")</f>
        <v/>
      </c>
      <c r="J32" s="224" t="str">
        <f>IF(SUM('Cumulative Budget'!H40:J40)&gt;0,(IF('BP1'!$K$5&gt;1,((IF('BP2'!H40&gt;0,CONCATENATE(IF('BP2'!H40&gt;0,TEXT('BP2'!H40,"0.00")&amp;" calendar month"&amp;IF('BP2'!H40&gt;1,"s",)&amp;" (or "&amp;TEXT('BP2'!H40/'BP2'!G40/ROUNDUP('BP2'!H40/'BP2'!G40,0),"0%")&amp;" calendar effort"&amp;IF('BP2'!H40&gt;12," each","")&amp;")",)),CONCATENATE(IF('BP2'!I40&gt;0,TEXT('BP2'!I40,"0.00")&amp;" academic month"&amp;IF('BP2'!I40&gt;1,"s",)&amp;" (or "&amp;TEXT('BP2'!I40/9,"0%")&amp;" academic effort)",),IF(AND('BP2'!I40&gt;0,'BP2'!J40&gt;0)," and ",),IF('BP2'!J40&gt;0,TEXT('BP2'!J40,"0.00")&amp;" summer month"&amp;IF('BP2'!J40&gt;1,"s",)&amp;" (or "&amp;TEXT('BP2'!J40/3,"0%")&amp;" summer effort)",))))),"")),"")</f>
        <v/>
      </c>
      <c r="K32" s="224" t="str">
        <f>IF(SUM('Cumulative Budget'!H40:J40)&gt;0,(IF('BP1'!$K$5&gt;2,((IF('BP3'!H40&gt;0,CONCATENATE(IF('BP3'!H40&gt;0,TEXT('BP3'!H40,"0.00")&amp;" calendar month"&amp;IF('BP3'!H40&gt;1,"s",)&amp;" (or "&amp;TEXT('BP3'!H40/'BP3'!G40/ROUNDUP('BP3'!H40/'BP3'!G40,0),"0%")&amp;" calendar effort"&amp;IF('BP3'!H40&gt;12," each","")&amp;")",)),CONCATENATE(IF('BP3'!I40&gt;0,TEXT('BP3'!I40,"0.00")&amp;" academic month"&amp;IF('BP3'!I40&gt;1,"s",)&amp;" (or "&amp;TEXT('BP3'!I40/9,"0%")&amp;" academic effort)",),IF(AND('BP3'!I40&gt;0,'BP3'!J40&gt;0)," and ",),IF('BP3'!J40&gt;0,TEXT('BP3'!J40,"0.00")&amp;" summer month"&amp;IF('BP3'!J40&gt;1,"s",)&amp;" (or "&amp;TEXT('BP3'!J40/3,"0%")&amp;" summer effort)",))))),"")),"")</f>
        <v/>
      </c>
      <c r="L32" s="224" t="str">
        <f>IF(SUM('Cumulative Budget'!H40:J40)&gt;0,(IF('BP1'!$K$5&gt;3,((IF('BP4'!H40&gt;0,CONCATENATE(IF('BP4'!H40&gt;0,TEXT('BP4'!H40,"0.00")&amp;" calendar month"&amp;IF('BP4'!H40&gt;1,"s",)&amp;" (or "&amp;TEXT('BP4'!H40/'BP4'!G40/ROUNDUP('BP4'!H40/'BP4'!G40,0),"0%")&amp;" calendar effort"&amp;IF('BP4'!H40&gt;12," each","")&amp;")",)),CONCATENATE(IF('BP4'!I40&gt;0,TEXT('BP4'!I40,"0.00")&amp;" academic month"&amp;IF('BP4'!I40&gt;1,"s",)&amp;" (or "&amp;TEXT('BP4'!I40/9,"0%")&amp;" academic effort)",),IF(AND('BP4'!I40&gt;0,'BP4'!J40&gt;0)," and ",),IF('BP4'!J40&gt;0,TEXT('BP4'!J40,"0.00")&amp;" summer month"&amp;IF('BP4'!J40&gt;1,"s",)&amp;" (or "&amp;TEXT('BP4'!J40/3,"0%")&amp;" summer effort)",))))),"")),"")</f>
        <v/>
      </c>
      <c r="M32" s="224" t="str">
        <f>IF(SUM('Cumulative Budget'!H40:J40)&gt;0,(IF('BP1'!$K$5&gt;4,((IF('BP5'!H40&gt;0,CONCATENATE(IF('BP5'!H40&gt;0,TEXT('BP5'!H40,"0.00")&amp;" calendar month"&amp;IF('BP5'!H40&gt;1,"s",)&amp;" (or "&amp;TEXT('BP5'!H40/'BP5'!G40/ROUNDUP('BP5'!H40/'BP5'!G40,0),"0%")&amp;" calendar effort"&amp;IF('BP5'!H40&gt;12," each","")&amp;")",)),CONCATENATE(IF('BP5'!I40&gt;0,TEXT('BP5'!I40,"0.00")&amp;" academic month"&amp;IF('BP5'!I40&gt;1,"s",)&amp;" (or "&amp;TEXT('BP5'!I40/9,"0%")&amp;" academic effort)",),IF(AND('BP5'!I40&gt;0,'BP5'!J40&gt;0)," and ",),IF('BP5'!J40&gt;0,TEXT('BP5'!J40,"0.00")&amp;" summer month"&amp;IF('BP5'!J40&gt;1,"s",)&amp;" (or "&amp;TEXT('BP5'!J40/3,"0%")&amp;" summer effort)",))))),"")),"")</f>
        <v/>
      </c>
      <c r="N32" s="224" t="str">
        <f>IF(AND('BP1'!M40&gt;0,'BP1'!$A$5&gt;0),TEXT('BP1'!M40,"0.00")&amp;" cost-shared month"&amp;IF('BP1'!M40&gt;1,"s",)&amp;" (or "&amp;TEXT('BP1'!M40/'BP1'!G40/ROUNDUP('BP1'!M40/'BP1'!G40,0),"0%")&amp;" cost-shared effort"&amp;IF('BP1'!M40&gt;12," each","")&amp;")","")</f>
        <v/>
      </c>
      <c r="O32" s="224" t="str">
        <f>IF(AND('BP2'!M40&gt;0,'BP2'!$A$5&gt;0),TEXT('BP2'!M40,"0.00")&amp;" cost-shared month"&amp;IF('BP2'!M40&gt;1,"s",)&amp;" (or "&amp;TEXT('BP2'!M40/'BP2'!G40/ROUNDUP('BP2'!M40/'BP2'!G40,0),"0%")&amp;" cost-shared effort"&amp;IF('BP2'!M40&gt;12," each","")&amp;")","")</f>
        <v/>
      </c>
      <c r="P32" s="224" t="str">
        <f>IF(AND('BP3'!M40&gt;0,'BP3'!$A$5&gt;0),TEXT('BP3'!M40,"0.00")&amp;" cost-shared month"&amp;IF('BP3'!M40&gt;1,"s",)&amp;" (or "&amp;TEXT('BP3'!M40/'BP3'!G40/ROUNDUP('BP3'!M40/'BP3'!G40,0),"0%")&amp;" cost-shared effort"&amp;IF('BP3'!M40&gt;12," each","")&amp;")","")</f>
        <v/>
      </c>
      <c r="Q32" s="224" t="str">
        <f>IF(AND('BP4'!M40&gt;0,'BP4'!$A$5&gt;0),TEXT('BP4'!M40,"0.00")&amp;" cost-shared month"&amp;IF('BP4'!M40&gt;1,"s",)&amp;" (or "&amp;TEXT('BP4'!M40/'BP4'!G40/ROUNDUP('BP4'!M40/'BP4'!G40,0),"0%")&amp;" cost-shared effort"&amp;IF('BP4'!M40&gt;12," each","")&amp;")","")</f>
        <v/>
      </c>
      <c r="R32" s="224" t="str">
        <f>IF(AND('BP5'!M40&gt;0,'BP5'!$A$5&gt;0),TEXT('BP5'!M40,"0.00")&amp;" cost-shared month"&amp;IF('BP5'!M40&gt;1,"s",)&amp;" (or "&amp;TEXT('BP5'!M40/'BP5'!G40/ROUNDUP('BP5'!M40/'BP5'!G40,0),"0%")&amp;" cost-shared effort"&amp;IF('BP5'!M40&gt;12," each","")&amp;")","")</f>
        <v/>
      </c>
      <c r="S32" s="210" t="str">
        <f>IF(AND('BP1'!$K$5=2,I32&lt;&gt;J32),"Note: Effort changes in the outyears!","")&amp;IF(AND('BP1'!$K$5=3,OR(I32&lt;&gt;J32,I32&lt;&gt;K32,J32&lt;&gt;K32)),"Note: Effort changes in the outyears!","")&amp;IF(AND('BP1'!$K$5=4,OR(I32&lt;&gt;J32,I32&lt;&gt;K32,I32&lt;&gt;L32,J32&lt;&gt;K32,J32&lt;&gt;L32,K32&lt;&gt;L32)),"Note: Effort changes in the outyears!","")&amp;IF(AND('BP1'!$K$5=5,OR(I32&lt;&gt;J32,I32&lt;&gt;K32,I32&lt;&gt;L32,I32&lt;&gt;M32,J32&lt;&gt;K32,J32&lt;&gt;L32,J32&lt;&gt;M32,K32&lt;&gt;L32,K32&lt;&gt;M32,L32&lt;&gt;M32)),"Note: Effort changes in the outyears!","")</f>
        <v/>
      </c>
      <c r="T32" s="210" t="str">
        <f>IF(AND('BP1'!$K$5=2,N32&lt;&gt;O32),"Note: Effort changes in the outyears!","")&amp;IF(AND('BP1'!$K$5=3,OR(N32&lt;&gt;O32,N32&lt;&gt;P32,O32&lt;&gt;P32)),"Note: Effort changes in the outyears!","")&amp;IF(AND('BP1'!$K$5=4,OR(N32&lt;&gt;O32,N32&lt;&gt;P32,N32&lt;&gt;Q32,O32&lt;&gt;P32,O32&lt;&gt;Q32,P32&lt;&gt;Q32)),"Note: Effort changes in the outyears!","")&amp;IF(AND('BP1'!$K$5=5,OR(N32&lt;&gt;O32,N32&lt;&gt;P32,N32&lt;&gt;Q32,N32&lt;&gt;R32,O32&lt;&gt;P32,O32&lt;&gt;Q32,O32&lt;&gt;R32,P32&lt;&gt;Q32,P32&lt;&gt;R32,Q32&lt;&gt;R32)),"Note: Effort changes in the outyears!","")</f>
        <v/>
      </c>
      <c r="U32" s="561" t="str">
        <f t="shared" ca="1" si="1"/>
        <v>Blank</v>
      </c>
    </row>
    <row r="33" spans="1:30" ht="15" customHeight="1">
      <c r="A33" s="881"/>
      <c r="B33" s="881"/>
      <c r="C33" s="881"/>
      <c r="D33" s="881"/>
      <c r="E33" s="881"/>
      <c r="F33" s="881"/>
      <c r="G33" s="881"/>
      <c r="H33" s="881"/>
      <c r="I33" s="225"/>
      <c r="J33" s="225"/>
      <c r="K33" s="225"/>
      <c r="L33" s="225"/>
      <c r="M33" s="225"/>
      <c r="N33" s="225"/>
      <c r="O33" s="225"/>
      <c r="P33" s="225"/>
      <c r="Q33" s="225"/>
      <c r="R33" s="225"/>
      <c r="S33" s="210"/>
      <c r="T33" s="210"/>
      <c r="U33" s="561" t="str">
        <f ca="1">IF(A23="","Blank","Populate")</f>
        <v>Blank</v>
      </c>
    </row>
    <row r="34" spans="1:30" ht="15" customHeight="1">
      <c r="A34" s="882" t="str">
        <f ca="1">IF(OR('Cumulative Budget'!K42:K42&gt;0,'Cumulative Budget'!N42:N42&gt;0),"Employee Fringe Benefits:","")</f>
        <v/>
      </c>
      <c r="B34" s="882"/>
      <c r="C34" s="882"/>
      <c r="D34" s="882"/>
      <c r="E34" s="882"/>
      <c r="F34" s="882"/>
      <c r="G34" s="882"/>
      <c r="H34" s="882"/>
      <c r="I34" s="226"/>
      <c r="J34" s="226"/>
      <c r="K34" s="226"/>
      <c r="L34" s="226"/>
      <c r="M34" s="226"/>
      <c r="N34" s="226"/>
      <c r="O34" s="226"/>
      <c r="P34" s="226"/>
      <c r="Q34" s="226"/>
      <c r="R34" s="226"/>
      <c r="S34" s="210"/>
      <c r="T34" s="210"/>
      <c r="U34" s="561" t="str">
        <f ca="1">IF(A34="","Blank","Populate")</f>
        <v>Blank</v>
      </c>
    </row>
    <row r="35" spans="1:30" ht="15" customHeight="1">
      <c r="A35" s="880" t="str">
        <f ca="1">IF(OR('Cumulative Budget'!K42:K42&gt;0,'Cumulative Budget'!N42:N42&gt;0),IF('BP1'!K2="Non-Federal","Employee benefits have been calculated based on the following approved rates:","Employee benefits have been calculated based on the following DHHS approved rates:"),"")</f>
        <v/>
      </c>
      <c r="B35" s="880"/>
      <c r="C35" s="880"/>
      <c r="D35" s="880"/>
      <c r="E35" s="880"/>
      <c r="F35" s="880"/>
      <c r="G35" s="880"/>
      <c r="H35" s="880"/>
      <c r="I35" s="224"/>
      <c r="J35" s="224"/>
      <c r="K35" s="224"/>
      <c r="L35" s="224"/>
      <c r="M35" s="224"/>
      <c r="N35" s="224"/>
      <c r="O35" s="224"/>
      <c r="P35" s="224"/>
      <c r="Q35" s="224"/>
      <c r="R35" s="224"/>
      <c r="S35" s="210"/>
      <c r="T35" s="210"/>
      <c r="U35" s="561" t="str">
        <f ca="1">IF(A34="","Blank","Populate")</f>
        <v>Blank</v>
      </c>
      <c r="W35" s="95"/>
    </row>
    <row r="36" spans="1:30" ht="15" customHeight="1">
      <c r="A36" s="879"/>
      <c r="B36" s="879"/>
      <c r="C36" s="880" t="str">
        <f ca="1">IF('Cumulative Budget'!K41-'Cumulative Budget'!K38-'Cumulative Budget'!K39-'Cumulative Budget'!K40&gt;0,"Faculty and Staff","")</f>
        <v/>
      </c>
      <c r="D36" s="880"/>
      <c r="E36" s="880" t="str">
        <f ca="1">IF('Cumulative Budget'!K38&gt;0,"Graduate Students","")</f>
        <v/>
      </c>
      <c r="F36" s="880"/>
      <c r="G36" s="880" t="str">
        <f ca="1">IF('Cumulative Budget'!K40&gt;0,"Other (Statutory)","")</f>
        <v/>
      </c>
      <c r="H36" s="880"/>
      <c r="I36" s="224"/>
      <c r="J36" s="224"/>
      <c r="K36" s="224"/>
      <c r="L36" s="224"/>
      <c r="M36" s="224"/>
      <c r="N36" s="224"/>
      <c r="O36" s="224"/>
      <c r="P36" s="224"/>
      <c r="Q36" s="224"/>
      <c r="R36" s="224"/>
      <c r="S36" s="210"/>
      <c r="T36" s="210"/>
      <c r="U36" s="561" t="str">
        <f ca="1">IF(AND(G36="",E36="", C36=""),"Blank","Populate")</f>
        <v>Blank</v>
      </c>
    </row>
    <row r="37" spans="1:30" ht="15" customHeight="1">
      <c r="A37" s="879" t="str">
        <f ca="1">IF(OR('Cumulative Budget'!K42:K42&gt;0,'Cumulative Budget'!N42:N42&gt;0),"9/1/15 - 8/31/16","")</f>
        <v/>
      </c>
      <c r="B37" s="879"/>
      <c r="C37" s="224" t="str">
        <f ca="1">IF(OR(('Cumulative Budget'!K42:K42-'Cumulative Budget'!L38:L38-'Cumulative Budget'!L40:L40)&gt;0,('Cumulative Budget'!N42:N42-'Cumulative Budget'!O38:O38-'Cumulative Budget'!O40:O40)&gt;0),IF('BP1'!K2="Non-Federal","27.20%","24.70%"),"")</f>
        <v/>
      </c>
      <c r="D37" s="224"/>
      <c r="E37" s="224" t="str">
        <f ca="1">IF(OR('Cumulative Budget'!K38&gt;0,'Cumulative Budget'!N38&gt;0),"2.30%","")</f>
        <v/>
      </c>
      <c r="F37" s="224"/>
      <c r="G37" s="224" t="str">
        <f ca="1">IF('Cumulative Budget'!K40&gt;0,"6.10%","")</f>
        <v/>
      </c>
      <c r="H37" s="224"/>
      <c r="I37" s="224"/>
      <c r="J37" s="224"/>
      <c r="K37" s="224"/>
      <c r="L37" s="224"/>
      <c r="M37" s="224"/>
      <c r="N37" s="224"/>
      <c r="O37" s="224"/>
      <c r="P37" s="224"/>
      <c r="Q37" s="224"/>
      <c r="R37" s="224"/>
      <c r="S37" s="210"/>
      <c r="T37" s="210"/>
      <c r="U37" s="561" t="str">
        <f ca="1">IF(AND(A34&lt;&gt;"",'Cumulative Budget'!K8&lt;=DATE(2016,8,31),'Cumulative Budget'!K10&gt;=DATE(2015,9,1)),"Populate","Blank")</f>
        <v>Blank</v>
      </c>
    </row>
    <row r="38" spans="1:30" ht="15" customHeight="1">
      <c r="A38" s="879" t="str">
        <f ca="1">IF(OR('Cumulative Budget'!K42:K42&gt;0,'Cumulative Budget'!N42:N42&gt;0),"9/1/16 - 8/31/17","")</f>
        <v/>
      </c>
      <c r="B38" s="879"/>
      <c r="C38" s="50" t="str">
        <f ca="1">IF(OR(('Cumulative Budget'!K42:K42-'Cumulative Budget'!L38:L38-'Cumulative Budget'!L40:L40)&gt;0,('Cumulative Budget'!N42:N42-'Cumulative Budget'!O38:O38-'Cumulative Budget'!O40:O40)&gt;0),IF('BP1'!K2="Non-Federal","27.20%","23.60%"),"")</f>
        <v/>
      </c>
      <c r="D38" s="106"/>
      <c r="E38" s="50" t="str">
        <f ca="1">IF(OR('Cumulative Budget'!K38&gt;0,'Cumulative Budget'!N38&gt;0),"2.60%","")</f>
        <v/>
      </c>
      <c r="F38" s="50"/>
      <c r="G38" s="106" t="str">
        <f ca="1">IF('Cumulative Budget'!K40&gt;0,"6.40%","")</f>
        <v/>
      </c>
      <c r="H38" s="50"/>
      <c r="I38" s="227"/>
      <c r="J38" s="227"/>
      <c r="K38" s="227"/>
      <c r="L38" s="227"/>
      <c r="M38" s="227"/>
      <c r="N38" s="227"/>
      <c r="O38" s="227"/>
      <c r="P38" s="227"/>
      <c r="Q38" s="227"/>
      <c r="R38" s="227"/>
      <c r="S38" s="210"/>
      <c r="T38" s="210"/>
      <c r="U38" s="561" t="str">
        <f ca="1">IF(AND(A34&lt;&gt;"",'Cumulative Budget'!K8&lt;=DATE(2017,8,31),'Cumulative Budget'!K10&gt;=DATE(2016,9,1)),"Populate","Blank")</f>
        <v>Blank</v>
      </c>
      <c r="AC38" s="544"/>
      <c r="AD38" s="545"/>
    </row>
    <row r="39" spans="1:30" ht="15" customHeight="1">
      <c r="A39" s="879" t="str">
        <f ca="1">IF(OR('Cumulative Budget'!K42:K42&gt;0,'Cumulative Budget'!N42:N42&gt;0),"9/1/17 - 8/31/18","")</f>
        <v/>
      </c>
      <c r="B39" s="879"/>
      <c r="C39" s="50" t="str">
        <f ca="1">IF(OR(('Cumulative Budget'!K42:K42-'Cumulative Budget'!L38:L38-'Cumulative Budget'!L40:L40)&gt;0,('Cumulative Budget'!N42:N42-'Cumulative Budget'!O38:O38-'Cumulative Budget'!O40:O40)&gt;0),IF('BP1'!K2="Non-Federal","27.40%","25.70%"),"")</f>
        <v/>
      </c>
      <c r="D39" s="106"/>
      <c r="E39" s="50" t="str">
        <f ca="1">IF(OR('Cumulative Budget'!K38&gt;0,'Cumulative Budget'!N38&gt;0),"2.80%","")</f>
        <v/>
      </c>
      <c r="F39" s="50"/>
      <c r="G39" s="106" t="str">
        <f ca="1">IF('Cumulative Budget'!K40&gt;0,"6.60%","")</f>
        <v/>
      </c>
      <c r="H39" s="50"/>
      <c r="I39" s="227"/>
      <c r="J39" s="227"/>
      <c r="K39" s="227"/>
      <c r="L39" s="227"/>
      <c r="M39" s="227"/>
      <c r="N39" s="227"/>
      <c r="O39" s="227"/>
      <c r="P39" s="227"/>
      <c r="Q39" s="227"/>
      <c r="R39" s="227"/>
      <c r="S39" s="210"/>
      <c r="T39" s="210"/>
      <c r="U39" s="561" t="str">
        <f ca="1">IF(AND(A34&lt;&gt;"",'Cumulative Budget'!K8&lt;=DATE(2018,8,31),'Cumulative Budget'!K10&gt;=DATE(2017,9,1)),"Populate","Blank")</f>
        <v>Blank</v>
      </c>
      <c r="AC39" s="544"/>
      <c r="AD39" s="545"/>
    </row>
    <row r="40" spans="1:30" ht="15" customHeight="1">
      <c r="A40" s="879" t="str">
        <f ca="1">IF(OR('Cumulative Budget'!K42:K42&gt;0,'Cumulative Budget'!N42:N42&gt;0),"9/1/18 - 8/31/19","")</f>
        <v/>
      </c>
      <c r="B40" s="879"/>
      <c r="C40" s="50" t="str">
        <f ca="1">IF(OR(('Cumulative Budget'!K42:K42-'Cumulative Budget'!L38:L38-'Cumulative Budget'!L40:L40)&gt;0,('Cumulative Budget'!N42:N42-'Cumulative Budget'!O38:O38-'Cumulative Budget'!O40:O40)&gt;0),IF('BP1'!K2="Non-Federal","28.20%","26.20%"),"")</f>
        <v/>
      </c>
      <c r="D40" s="106"/>
      <c r="E40" s="50" t="str">
        <f ca="1">IF(OR('Cumulative Budget'!K38&gt;0,'Cumulative Budget'!N38&gt;0),"2.60%","")</f>
        <v/>
      </c>
      <c r="F40" s="50"/>
      <c r="G40" s="106" t="str">
        <f ca="1">IF('Cumulative Budget'!K40&gt;0,"6.40%","")</f>
        <v/>
      </c>
      <c r="H40" s="50"/>
      <c r="I40" s="227"/>
      <c r="J40" s="227"/>
      <c r="K40" s="227"/>
      <c r="L40" s="227"/>
      <c r="M40" s="227"/>
      <c r="N40" s="227"/>
      <c r="O40" s="227"/>
      <c r="P40" s="227"/>
      <c r="Q40" s="227"/>
      <c r="R40" s="227"/>
      <c r="S40" s="210"/>
      <c r="T40" s="210"/>
      <c r="U40" s="561" t="str">
        <f ca="1">IF(AND(A34&lt;&gt;"",'Cumulative Budget'!K8&lt;=DATE(2019,8,31),'Cumulative Budget'!K10&gt;=DATE(2018,9,1)),"Populate","Blank")</f>
        <v>Blank</v>
      </c>
      <c r="AC40" s="544"/>
      <c r="AD40" s="545"/>
    </row>
    <row r="41" spans="1:30" ht="15" customHeight="1">
      <c r="A41" s="879" t="str">
        <f ca="1">IF(OR('Cumulative Budget'!K42:K42&gt;0,'Cumulative Budget'!N42:N42&gt;0),"9/1/19 - 8/31/20","")</f>
        <v/>
      </c>
      <c r="B41" s="879"/>
      <c r="C41" s="50" t="str">
        <f ca="1">IF(OR(('Cumulative Budget'!K42:K42-'Cumulative Budget'!L38:L38-'Cumulative Budget'!L40:L40)&gt;0,('Cumulative Budget'!N42:N42-'Cumulative Budget'!O38:O38-'Cumulative Budget'!O40:O40)&gt;0),IF('BP1'!K2="Non-Federal","28.60%","26.80%"),"")</f>
        <v/>
      </c>
      <c r="D41" s="106"/>
      <c r="E41" s="50" t="str">
        <f ca="1">IF(OR('Cumulative Budget'!K38&gt;0,'Cumulative Budget'!N38&gt;0),"2.60%","")</f>
        <v/>
      </c>
      <c r="F41" s="50"/>
      <c r="G41" s="106" t="str">
        <f ca="1">IF('Cumulative Budget'!K40&gt;0,"6.60%","")</f>
        <v/>
      </c>
      <c r="H41" s="50"/>
      <c r="I41" s="227"/>
      <c r="J41" s="227"/>
      <c r="K41" s="227"/>
      <c r="L41" s="227"/>
      <c r="M41" s="227"/>
      <c r="N41" s="227"/>
      <c r="O41" s="227"/>
      <c r="P41" s="227"/>
      <c r="Q41" s="227"/>
      <c r="R41" s="227"/>
      <c r="S41" s="210"/>
      <c r="T41" s="210"/>
      <c r="U41" s="561" t="str">
        <f ca="1">IF(AND(A34&lt;&gt;"",'Cumulative Budget'!K8&lt;=DATE(2020,8,31),'Cumulative Budget'!K10&gt;=DATE(2019,9,1)),"Populate","Blank")</f>
        <v>Blank</v>
      </c>
      <c r="AC41" s="544"/>
      <c r="AD41" s="545"/>
    </row>
    <row r="42" spans="1:30" ht="15" customHeight="1">
      <c r="A42" s="879" t="str">
        <f ca="1">IF(OR('Cumulative Budget'!K42:K42&gt;0,'Cumulative Budget'!N42:N42&gt;0),"9/1/20 - 8/31/21","")</f>
        <v/>
      </c>
      <c r="B42" s="879"/>
      <c r="C42" s="50" t="str">
        <f ca="1">IF(OR(('Cumulative Budget'!K42:K42-'Cumulative Budget'!L38:L38-'Cumulative Budget'!L40:L40)&gt;0,('Cumulative Budget'!N42:N42-'Cumulative Budget'!O38:O38-'Cumulative Budget'!O40:O40)&gt;0),IF('BP1'!K2="Non-Federal","27.20%","25.20%"),"")</f>
        <v/>
      </c>
      <c r="D42" s="106"/>
      <c r="E42" s="50" t="str">
        <f ca="1">IF(OR('Cumulative Budget'!K38&gt;0,'Cumulative Budget'!N38&gt;0),"2.00%","")</f>
        <v/>
      </c>
      <c r="F42" s="50"/>
      <c r="G42" s="106" t="str">
        <f ca="1">IF('Cumulative Budget'!K40&gt;0,"6.70%","")</f>
        <v/>
      </c>
      <c r="H42" s="50"/>
      <c r="I42" s="227"/>
      <c r="J42" s="227"/>
      <c r="K42" s="227"/>
      <c r="L42" s="227"/>
      <c r="M42" s="227"/>
      <c r="N42" s="227"/>
      <c r="O42" s="227"/>
      <c r="P42" s="227"/>
      <c r="Q42" s="227"/>
      <c r="R42" s="227"/>
      <c r="S42" s="210"/>
      <c r="T42" s="210"/>
      <c r="U42" s="561" t="str">
        <f ca="1">IF(AND(A34&lt;&gt;"",'Cumulative Budget'!K8&lt;=DATE(2021,8,31),'Cumulative Budget'!K10&gt;=DATE(2020,9,1)),"Populate","Blank")</f>
        <v>Blank</v>
      </c>
      <c r="AC42" s="544"/>
      <c r="AD42" s="545"/>
    </row>
    <row r="43" spans="1:30" ht="15" customHeight="1">
      <c r="A43" s="879" t="str">
        <f ca="1">IF(OR('Cumulative Budget'!K42:K42&gt;0,'Cumulative Budget'!N42:N42&gt;0),"9/1/21 - 8/31/22","")</f>
        <v/>
      </c>
      <c r="B43" s="879"/>
      <c r="C43" s="50" t="str">
        <f ca="1">IF(OR(('Cumulative Budget'!K42:K42-'Cumulative Budget'!L38:L38-'Cumulative Budget'!L40:L40)&gt;0,('Cumulative Budget'!N42:N42-'Cumulative Budget'!O38:O38-'Cumulative Budget'!O40:O40)&gt;0),IF('BP1'!K2="Non-Federal","26.50%","24.50%"),"")</f>
        <v/>
      </c>
      <c r="D43" s="106"/>
      <c r="E43" s="50" t="str">
        <f ca="1">IF(OR('Cumulative Budget'!K38&gt;0,'Cumulative Budget'!N38&gt;0),"2.60%","")</f>
        <v/>
      </c>
      <c r="F43" s="50"/>
      <c r="G43" s="106" t="str">
        <f ca="1">IF('Cumulative Budget'!K40&gt;0,"6.30%","")</f>
        <v/>
      </c>
      <c r="H43" s="50"/>
      <c r="I43" s="227"/>
      <c r="J43" s="227"/>
      <c r="K43" s="227"/>
      <c r="L43" s="227"/>
      <c r="M43" s="227"/>
      <c r="N43" s="227"/>
      <c r="O43" s="227"/>
      <c r="P43" s="227"/>
      <c r="Q43" s="227"/>
      <c r="R43" s="227"/>
      <c r="S43" s="210"/>
      <c r="T43" s="210"/>
      <c r="U43" s="561" t="str">
        <f ca="1">IF(AND(A34&lt;&gt;"",'Cumulative Budget'!K8&lt;=DATE(2022,8,31),'Cumulative Budget'!K10&gt;=DATE(2021,9,1)),"Populate","Blank")</f>
        <v>Blank</v>
      </c>
      <c r="AC43" s="544"/>
      <c r="AD43" s="545"/>
    </row>
    <row r="44" spans="1:30" ht="30" customHeight="1">
      <c r="A44" s="880" t="str">
        <f ca="1">IF(OR('Cumulative Budget'!K42:K42&gt;0,'Cumulative Budget'!N42:N42&gt;0),"9/1/22 - 8/31/23","")</f>
        <v/>
      </c>
      <c r="B44" s="880"/>
      <c r="C44" s="50" t="str">
        <f ca="1">IF(OR(('Cumulative Budget'!K42:K42-'Cumulative Budget'!L38:L38-'Cumulative Budget'!L40:L40)&gt;0,('Cumulative Budget'!N42:N42-'Cumulative Budget'!O38:O38-'Cumulative Budget'!O40:O40)&gt;0),IF('BP1'!K2="Non-Federal","27.90%","26.00%"),"")</f>
        <v/>
      </c>
      <c r="D44" s="106"/>
      <c r="E44" s="50" t="str">
        <f ca="1">IF(OR('Cumulative Budget'!K38&gt;0,'Cumulative Budget'!N38&gt;0),"2.60%","")</f>
        <v/>
      </c>
      <c r="F44" s="50"/>
      <c r="G44" s="106" t="str">
        <f ca="1">IF('Cumulative Budget'!K40&gt;0,"6.10%","")</f>
        <v/>
      </c>
      <c r="H44" s="50"/>
      <c r="I44" s="227"/>
      <c r="J44" s="227"/>
      <c r="K44" s="227"/>
      <c r="L44" s="227"/>
      <c r="M44" s="227"/>
      <c r="N44" s="227"/>
      <c r="O44" s="227"/>
      <c r="P44" s="227"/>
      <c r="Q44" s="227"/>
      <c r="R44" s="227"/>
      <c r="S44" s="210"/>
      <c r="T44" s="210"/>
      <c r="U44" s="561" t="str">
        <f ca="1">IF(AND(A34&lt;&gt;"",'Cumulative Budget'!K8&lt;=DATE(2023,8,31),'Cumulative Budget'!K10&gt;=DATE(2022,9,1)),"Populate","Blank")</f>
        <v>Blank</v>
      </c>
    </row>
    <row r="45" spans="1:30" ht="30" customHeight="1">
      <c r="A45" s="880" t="str">
        <f ca="1">IF(OR('Cumulative Budget'!K42:K42&gt;0,'Cumulative Budget'!N42:N42&gt;0),"9/1/23 - 8/31/24 and thereafter","")</f>
        <v/>
      </c>
      <c r="B45" s="880"/>
      <c r="C45" s="50" t="str">
        <f ca="1">IF(OR(('Cumulative Budget'!K42:K42-'Cumulative Budget'!L38:L38-'Cumulative Budget'!L40:L40)&gt;0,('Cumulative Budget'!N42:N42-'Cumulative Budget'!O38:O38-'Cumulative Budget'!O40:O40)&gt;0),IF('BP1'!K2="Non-Federal","27.90%","26.00%"),"")</f>
        <v/>
      </c>
      <c r="D45" s="106" t="str">
        <f ca="1">IF(OR(('Cumulative Budget'!K42:K42-'Cumulative Budget'!L38:L38-'Cumulative Budget'!L40:L40)&gt;0,('Cumulative Budget'!N42:N42-'Cumulative Budget'!O38:O38-'Cumulative Budget'!O40:O40)&gt;0),"(provisional)","")</f>
        <v/>
      </c>
      <c r="E45" s="50" t="str">
        <f ca="1">IF(OR('Cumulative Budget'!K38&gt;0,'Cumulative Budget'!N38&gt;0),"2.60%","")</f>
        <v/>
      </c>
      <c r="F45" s="50" t="str">
        <f ca="1">IF('Cumulative Budget'!K38&gt;0,"(provisional)","")</f>
        <v/>
      </c>
      <c r="G45" s="106" t="str">
        <f ca="1">IF('Cumulative Budget'!K40&gt;0,"6.10%","")</f>
        <v/>
      </c>
      <c r="H45" s="50" t="str">
        <f ca="1">IF('Cumulative Budget'!K40&gt;0,"(provisional)","")</f>
        <v/>
      </c>
      <c r="I45" s="227"/>
      <c r="J45" s="227"/>
      <c r="K45" s="227"/>
      <c r="L45" s="227"/>
      <c r="M45" s="227"/>
      <c r="N45" s="227"/>
      <c r="O45" s="227"/>
      <c r="P45" s="227"/>
      <c r="Q45" s="227"/>
      <c r="R45" s="227"/>
      <c r="S45" s="210"/>
      <c r="T45" s="210"/>
      <c r="U45" s="561" t="str">
        <f ca="1">IF(AND(A34&lt;&gt;"",'Cumulative Budget'!K10&gt;=DATE(2022,9,1)),"Populate","Blank")</f>
        <v>Blank</v>
      </c>
    </row>
    <row r="46" spans="1:30" ht="15" customHeight="1">
      <c r="A46" s="881"/>
      <c r="B46" s="881"/>
      <c r="C46" s="881"/>
      <c r="D46" s="881"/>
      <c r="E46" s="881"/>
      <c r="F46" s="881"/>
      <c r="G46" s="881"/>
      <c r="H46" s="881"/>
      <c r="I46" s="225"/>
      <c r="J46" s="225"/>
      <c r="K46" s="225"/>
      <c r="L46" s="225"/>
      <c r="M46" s="225"/>
      <c r="N46" s="225"/>
      <c r="O46" s="225"/>
      <c r="P46" s="225"/>
      <c r="Q46" s="225"/>
      <c r="R46" s="225"/>
      <c r="S46" s="210"/>
      <c r="T46" s="210"/>
      <c r="U46" s="561" t="str">
        <f ca="1">IF(A34="","Blank","Populate")</f>
        <v>Blank</v>
      </c>
    </row>
    <row r="47" spans="1:30" ht="15" customHeight="1">
      <c r="A47" s="882" t="str">
        <f>IF(OR('Cumulative Budget'!K50:K50&gt;0,'Cumulative Budget'!N50:N50&gt;0),"Equipment:","")</f>
        <v/>
      </c>
      <c r="B47" s="882"/>
      <c r="C47" s="882"/>
      <c r="D47" s="882"/>
      <c r="E47" s="882"/>
      <c r="F47" s="882"/>
      <c r="G47" s="882"/>
      <c r="H47" s="882"/>
      <c r="I47" s="226"/>
      <c r="J47" s="226"/>
      <c r="K47" s="226"/>
      <c r="L47" s="226"/>
      <c r="M47" s="226"/>
      <c r="N47" s="226"/>
      <c r="O47" s="226"/>
      <c r="P47" s="226"/>
      <c r="Q47" s="226"/>
      <c r="R47" s="226"/>
      <c r="S47" s="210"/>
      <c r="T47" s="210"/>
      <c r="U47" s="561" t="str">
        <f>IF(A47="","Blank","Populate")</f>
        <v>Blank</v>
      </c>
    </row>
    <row r="48" spans="1:30" ht="30" customHeight="1">
      <c r="A48" s="880" t="str">
        <f>IF(OR('Cumulative Budget'!K50&gt;0,'Cumulative Budget'!N50&gt;0),"Support is requested for the following items of capital equipment: "&amp;IF('BP1'!B45&gt;0,'BP1'!B45,"")&amp;IF('BP1'!B46&gt;0,"; "&amp;'BP1'!B46,"")&amp;IF('BP1'!B47&gt;0,"; "&amp;'BP1'!B47,"")&amp;IF('BP1'!B48&gt;0,"; "&amp;'BP1'!B48,"") &amp;IF('BP1'!B49&gt;0,"; "&amp;'BP1'!B49,"")&amp;IF('BP2'!B45&gt;0,"; "&amp;'BP2'!B45,"")&amp;IF('BP2'!B46&gt;0,"; "&amp;'BP2'!B46,"")&amp;IF('BP2'!B47&gt;0,"; "&amp;'BP2'!B47,"")&amp;IF('BP2'!B48&gt;0,"; "&amp;'BP2'!B48,"")&amp;IF('BP2'!B49&gt;0,"; "&amp;'BP2'!B49,"")&amp;IF('BP3'!B45&gt;0,"; "&amp;'BP3'!B45,"")&amp;IF('BP3'!B46&gt;0,"; "&amp;'BP3'!B46,"")&amp;IF('BP3'!B47&gt;0,"; "&amp;'BP3'!B47,"")&amp;IF('BP3'!B48&gt;0,"; "&amp;'BP3'!B48,"")&amp;IF('BP3'!B49&gt;0,"; "&amp;'BP3'!B49,"")&amp;IF('BP4'!B45&gt;0,"; "&amp;'BP4'!B45,"")&amp;IF('BP4'!B46&gt;0,"; "&amp;'BP4'!B46,"")&amp;IF('BP4'!B47&gt;0,"; "&amp;'BP4'!B47,"")&amp;IF('BP4'!B48&gt;0,"; "&amp;'BP4'!B48,"")&amp;IF('BP4'!B49&gt;0,"; "&amp;'BP4'!B49,"")&amp;IF('BP5'!B45&gt;0,"; "&amp;'BP5'!B45,"")&amp;IF('BP5'!B46&gt;0,"; "&amp;'BP5'!B46,"")&amp;IF('BP5'!B47&gt;0,"; "&amp;'BP5'!B47,"")&amp;IF('BP5'!B48&gt;0,"; "&amp;'BP5'!B48,"")&amp;IF('BP5'!B49&gt;0,"; "&amp;'BP5'!B49,"")&amp;". "&amp;'BP1'!P45,"")</f>
        <v/>
      </c>
      <c r="B48" s="880"/>
      <c r="C48" s="880"/>
      <c r="D48" s="880"/>
      <c r="E48" s="880"/>
      <c r="F48" s="880"/>
      <c r="G48" s="880"/>
      <c r="H48" s="880"/>
      <c r="I48" s="224">
        <f>IF('BP1'!$K$5&gt;0,IF('BP1'!K50&gt;0,'BP1'!K50,0),0)</f>
        <v>0</v>
      </c>
      <c r="J48" s="224">
        <f>IF('BP1'!$K$5&gt;1,IF('BP2'!K50&gt;0,'BP2'!K50,0),0)</f>
        <v>0</v>
      </c>
      <c r="K48" s="224">
        <f>IF('BP1'!$K$5&gt;2,IF('BP3'!K50&gt;0,'BP3'!K50,0),0)</f>
        <v>0</v>
      </c>
      <c r="L48" s="224">
        <f>IF('BP1'!$K$5&gt;3,IF('BP4'!K50&gt;0,'BP4'!K50,0),0)</f>
        <v>0</v>
      </c>
      <c r="M48" s="224">
        <f>IF('BP1'!$K$5&gt;4,IF('BP5'!K50&gt;0,'BP5'!K50,0),0)</f>
        <v>0</v>
      </c>
      <c r="N48" s="224">
        <f>IF('BP1'!$K$5&gt;0,IF('BP1'!N50&gt;0,'BP1'!N50,0),0)</f>
        <v>0</v>
      </c>
      <c r="O48" s="224">
        <f>IF('BP1'!$K$5&gt;0,IF('BP2'!N50&gt;0,'BP2'!N50,0),0)</f>
        <v>0</v>
      </c>
      <c r="P48" s="224">
        <f>IF('BP1'!$K$5&gt;0,IF('BP3'!N50&gt;0,'BP3'!N50,0),0)</f>
        <v>0</v>
      </c>
      <c r="Q48" s="224">
        <f>IF('BP1'!$K$5&gt;0,IF('BP4'!N50&gt;0,'BP4'!N50,0),0)</f>
        <v>0</v>
      </c>
      <c r="R48" s="224">
        <f>IF('BP1'!$K$5&gt;0,IF('BP5'!N50&gt;0,'BP5'!N50,0),0)</f>
        <v>0</v>
      </c>
      <c r="S48" s="210" t="str">
        <f>IF(AND('BP1'!$K$5=2,I48&lt;&gt;J48),"Note: Funds change in the outyears!","")&amp;IF(AND('BP1'!$K$5=3,OR(I48&lt;&gt;J48,I48&lt;&gt;K48,J48&lt;&gt;K48)),"Note: Funds change in the outyears!","")&amp;IF(AND('BP1'!$K$5=4,OR(I48&lt;&gt;J48,I48&lt;&gt;K48,I48&lt;&gt;L48,J48&lt;&gt;K48,J48&lt;&gt;L48,K48&lt;&gt;L48)),"Note: Funds change in the outyears!","")&amp;IF(AND('BP1'!$K$5=5,OR(I48&lt;&gt;J48,I48&lt;&gt;K48,I48&lt;&gt;L48,I48&lt;&gt;M48,J48&lt;&gt;K48,J48&lt;&gt;L48,J48&lt;&gt;M48,K48&lt;&gt;L48,K48&lt;&gt;M48,L48&lt;&gt;M48)),"Note: Funds change in the outyears!","")</f>
        <v/>
      </c>
      <c r="T48" s="210" t="str">
        <f>IF(AND('BP1'!$K$5=2,N48&lt;&gt;O48),"Note: Funds change in the outyears!","")&amp;IF(AND('BP1'!$K$5=3,OR(N48&lt;&gt;O48,N48&lt;&gt;P48,O48&lt;&gt;P48)),"Note: Funds change in the outyears!","")&amp;IF(AND('BP1'!$K$5=4,OR(N48&lt;&gt;O48,N48&lt;&gt;P48,N48&lt;&gt;Q48,O48&lt;&gt;P48,O48&lt;&gt;Q48,P48&lt;&gt;Q48)),"Note: Funds change in the outyears!","")&amp;IF(AND('BP1'!$K$5=5,OR(N48&lt;&gt;O48,N48&lt;&gt;P48,N48&lt;&gt;Q48,N48&lt;&gt;R48,O48&lt;&gt;P48,O48&lt;&gt;Q48,O48&lt;&gt;R48,P48&lt;&gt;Q48,P48&lt;&gt;R48,Q48&lt;&gt;R48)),"Note: Funds change in the outyears!","")</f>
        <v/>
      </c>
      <c r="U48" s="561" t="str">
        <f>IF(A48="","Blank","Populate")</f>
        <v>Blank</v>
      </c>
    </row>
    <row r="49" spans="1:21" ht="15" customHeight="1">
      <c r="A49" s="881"/>
      <c r="B49" s="881"/>
      <c r="C49" s="881"/>
      <c r="D49" s="881"/>
      <c r="E49" s="881"/>
      <c r="F49" s="881"/>
      <c r="G49" s="881"/>
      <c r="H49" s="881"/>
      <c r="I49" s="225"/>
      <c r="J49" s="225"/>
      <c r="K49" s="225"/>
      <c r="L49" s="225"/>
      <c r="M49" s="225"/>
      <c r="N49" s="225"/>
      <c r="O49" s="225"/>
      <c r="P49" s="225"/>
      <c r="Q49" s="225"/>
      <c r="R49" s="225"/>
      <c r="S49" s="210"/>
      <c r="T49" s="210"/>
      <c r="U49" s="561" t="str">
        <f>IF(A47="","Blank","Populate")</f>
        <v>Blank</v>
      </c>
    </row>
    <row r="50" spans="1:21" ht="15" customHeight="1">
      <c r="A50" s="882" t="str">
        <f>IF(OR('Cumulative Budget'!K53:K53&gt;0,'Cumulative Budget'!N53:N53&gt;0),"Travel:","")</f>
        <v/>
      </c>
      <c r="B50" s="882"/>
      <c r="C50" s="882"/>
      <c r="D50" s="882"/>
      <c r="E50" s="882"/>
      <c r="F50" s="882"/>
      <c r="G50" s="882"/>
      <c r="H50" s="882"/>
      <c r="I50" s="226"/>
      <c r="J50" s="226"/>
      <c r="K50" s="226"/>
      <c r="L50" s="226"/>
      <c r="M50" s="226"/>
      <c r="N50" s="226"/>
      <c r="O50" s="226"/>
      <c r="P50" s="226"/>
      <c r="Q50" s="226"/>
      <c r="R50" s="226"/>
      <c r="S50" s="210"/>
      <c r="T50" s="210"/>
      <c r="U50" s="561" t="str">
        <f>IF(A50="","Blank","Populate")</f>
        <v>Blank</v>
      </c>
    </row>
    <row r="51" spans="1:21" ht="45" customHeight="1">
      <c r="A51" s="880" t="str">
        <f>IF(OR('Cumulative Budget'!K53&gt;0,'Cumulative Budget'!N53&gt;0),"Support is requested to cover the cost of transportation, accommodation, and subsistence for "&amp;IF('Cumulative Budget'!K51+'Cumulative Budget'!N51&gt;0,"domestic travel","")&amp;IF(AND('Cumulative Budget'!K51+'Cumulative Budget'!N51&gt;0,'Cumulative Budget'!K52+'Cumulative Budget'!N52&gt;0)," and ","")&amp;IF('Cumulative Budget'!K52+'Cumulative Budget'!N52&gt;0,"foreign travel","")&amp;". "&amp;'BP1'!P53&amp;"
M&amp;IE is charged at 75% on the first and last days of travel per Northwestern policy.","")</f>
        <v/>
      </c>
      <c r="B51" s="880"/>
      <c r="C51" s="880"/>
      <c r="D51" s="880"/>
      <c r="E51" s="880"/>
      <c r="F51" s="880"/>
      <c r="G51" s="880"/>
      <c r="H51" s="880"/>
      <c r="I51" s="224">
        <f>IF('BP1'!$K$5&gt;0,IF('BP1'!K53&gt;0,'BP1'!K53,0),0)</f>
        <v>0</v>
      </c>
      <c r="J51" s="224">
        <f>IF('BP1'!$K$5&gt;1,IF('BP2'!K53&gt;0,'BP2'!K53,0),0)</f>
        <v>0</v>
      </c>
      <c r="K51" s="224">
        <f>IF('BP1'!$K$5&gt;2,IF('BP3'!K53&gt;0,'BP3'!K53,0),0)</f>
        <v>0</v>
      </c>
      <c r="L51" s="224">
        <f>IF('BP1'!$K$5&gt;3,IF('BP4'!K53&gt;0,'BP4'!K53,0),0)</f>
        <v>0</v>
      </c>
      <c r="M51" s="224">
        <f>IF('BP1'!$K$5&gt;4,IF('BP5'!K53&gt;0,'BP5'!K53,0),0)</f>
        <v>0</v>
      </c>
      <c r="N51" s="224">
        <f>IF('BP1'!$K$5&gt;0,IF('BP1'!N53&gt;0,'BP1'!N53,0),0)</f>
        <v>0</v>
      </c>
      <c r="O51" s="224">
        <f>IF('BP1'!$K$5&gt;0,IF('BP2'!N53&gt;0,'BP2'!N53,0),0)</f>
        <v>0</v>
      </c>
      <c r="P51" s="224">
        <f>IF('BP1'!$K$5&gt;0,IF('BP3'!N53&gt;0,'BP3'!N53,0),0)</f>
        <v>0</v>
      </c>
      <c r="Q51" s="224">
        <f>IF('BP1'!$K$5&gt;0,IF('BP4'!N53&gt;0,'BP4'!N53,0),0)</f>
        <v>0</v>
      </c>
      <c r="R51" s="224">
        <f>IF('BP1'!$K$5&gt;0,IF('BP5'!N53&gt;0,'BP5'!N53,0),0)</f>
        <v>0</v>
      </c>
      <c r="S51" s="210" t="str">
        <f>IF(AND('BP1'!$K$5=2,I51&lt;&gt;J51),"Note: Funds change in the outyears!","")&amp;IF(AND('BP1'!$K$5=3,OR(I51&lt;&gt;J51,I51&lt;&gt;K51,J51&lt;&gt;K51)),"Note: Funds change in the outyears!","")&amp;IF(AND('BP1'!$K$5=4,OR(I51&lt;&gt;J51,I51&lt;&gt;K51,I51&lt;&gt;L51,J51&lt;&gt;K51,J51&lt;&gt;L51,K51&lt;&gt;L51)),"Note: Funds change in the outyears!","")&amp;IF(AND('BP1'!$K$5=5,OR(I51&lt;&gt;J51,I51&lt;&gt;K51,I51&lt;&gt;L51,I51&lt;&gt;M51,J51&lt;&gt;K51,J51&lt;&gt;L51,J51&lt;&gt;M51,K51&lt;&gt;L51,K51&lt;&gt;M51,L51&lt;&gt;M51)),"Note: Funds change in the outyears!","")</f>
        <v/>
      </c>
      <c r="T51" s="210" t="str">
        <f>IF(AND('BP1'!$K$5=2,N51&lt;&gt;O51),"Note: Funds changes in the outyears!","")&amp;IF(AND('BP1'!$K$5=3,OR(N51&lt;&gt;O51,N51&lt;&gt;P51,O51&lt;&gt;P51)),"Note: Funds changes in the outyears!","")&amp;IF(AND('BP1'!$K$5=4,OR(N51&lt;&gt;O51,N51&lt;&gt;P51,N51&lt;&gt;Q51,O51&lt;&gt;P51,O51&lt;&gt;Q51,P51&lt;&gt;Q51)),"Note: Funds changes in the outyears!","")&amp;IF(AND('BP1'!$K$5=5,OR(N51&lt;&gt;O51,N51&lt;&gt;P51,N51&lt;&gt;Q51,N51&lt;&gt;R51,O51&lt;&gt;P51,O51&lt;&gt;Q51,O51&lt;&gt;R51,P51&lt;&gt;Q51,P51&lt;&gt;R51,Q51&lt;&gt;R51)),"Note: Funds changes in the outyears!","")</f>
        <v/>
      </c>
      <c r="U51" s="561" t="str">
        <f>IF(A51="","Blank","Populate")</f>
        <v>Blank</v>
      </c>
    </row>
    <row r="52" spans="1:21" ht="15" customHeight="1">
      <c r="A52" s="881"/>
      <c r="B52" s="881"/>
      <c r="C52" s="881"/>
      <c r="D52" s="881"/>
      <c r="E52" s="881"/>
      <c r="F52" s="881"/>
      <c r="G52" s="881"/>
      <c r="H52" s="881"/>
      <c r="I52" s="225"/>
      <c r="J52" s="225"/>
      <c r="K52" s="225"/>
      <c r="L52" s="225"/>
      <c r="M52" s="225"/>
      <c r="N52" s="225"/>
      <c r="O52" s="225"/>
      <c r="P52" s="225"/>
      <c r="Q52" s="225"/>
      <c r="R52" s="225"/>
      <c r="S52" s="210"/>
      <c r="T52" s="210"/>
      <c r="U52" s="561" t="str">
        <f>IF(A50="","Blank","Populate")</f>
        <v>Blank</v>
      </c>
    </row>
    <row r="53" spans="1:21" ht="15" customHeight="1">
      <c r="A53" s="882" t="str">
        <f>IF(OR('Cumulative Budget'!K74:K74&gt;0,'Cumulative Budget'!N74:N74&gt;0),"Other Direct Costs:","")</f>
        <v/>
      </c>
      <c r="B53" s="882"/>
      <c r="C53" s="882"/>
      <c r="D53" s="882"/>
      <c r="E53" s="882"/>
      <c r="F53" s="882"/>
      <c r="G53" s="882"/>
      <c r="H53" s="882"/>
      <c r="I53" s="226"/>
      <c r="J53" s="226"/>
      <c r="K53" s="226"/>
      <c r="L53" s="226"/>
      <c r="M53" s="226"/>
      <c r="N53" s="226"/>
      <c r="O53" s="226"/>
      <c r="P53" s="226"/>
      <c r="Q53" s="226"/>
      <c r="R53" s="226"/>
      <c r="S53" s="210"/>
      <c r="T53" s="210"/>
      <c r="U53" s="561" t="str">
        <f>IF(A53="","Blank","Populate")</f>
        <v>Blank</v>
      </c>
    </row>
    <row r="54" spans="1:21" ht="30" customHeight="1">
      <c r="A54" s="880" t="str">
        <f>IF(OR('Cumulative Budget'!K55&gt;0,'Cumulative Budget'!N55&gt;0),"Materials and Supplies: Support is requested to cover expendable materials and supplies costs. "&amp;'BP1'!P55,"")</f>
        <v/>
      </c>
      <c r="B54" s="880"/>
      <c r="C54" s="880"/>
      <c r="D54" s="880"/>
      <c r="E54" s="880"/>
      <c r="F54" s="880"/>
      <c r="G54" s="880"/>
      <c r="H54" s="880"/>
      <c r="I54" s="224">
        <f>IF('BP1'!$K$5&gt;0,IF('BP1'!K55&gt;0,'BP1'!K55,0),0)</f>
        <v>0</v>
      </c>
      <c r="J54" s="224">
        <f>IF('BP1'!$K$5&gt;1,IF('BP2'!K55&gt;0,'BP2'!K55,0),0)</f>
        <v>0</v>
      </c>
      <c r="K54" s="224">
        <f>IF('BP1'!$K$5&gt;2,IF('BP3'!K55&gt;0,'BP3'!K55,0),0)</f>
        <v>0</v>
      </c>
      <c r="L54" s="224">
        <f>IF('BP1'!$K$5&gt;3,IF('BP4'!K55&gt;0,'BP4'!K55,0),0)</f>
        <v>0</v>
      </c>
      <c r="M54" s="224">
        <f>IF('BP1'!$K$5&gt;4,IF('BP5'!K55&gt;0,'BP5'!K55,0),0)</f>
        <v>0</v>
      </c>
      <c r="N54" s="224">
        <f>IF('BP1'!$K$5&gt;0,IF('BP1'!N55&gt;0,'BP1'!N55,0),0)</f>
        <v>0</v>
      </c>
      <c r="O54" s="224">
        <f>IF('BP1'!$K$5&gt;0,IF('BP2'!N55&gt;0,'BP2'!N55,0),0)</f>
        <v>0</v>
      </c>
      <c r="P54" s="224">
        <f>IF('BP1'!$K$5&gt;0,IF('BP3'!N55&gt;0,'BP3'!N55,0),0)</f>
        <v>0</v>
      </c>
      <c r="Q54" s="224">
        <f>IF('BP1'!$K$5&gt;0,IF('BP4'!N55&gt;0,'BP4'!N55,0),0)</f>
        <v>0</v>
      </c>
      <c r="R54" s="224">
        <f>IF('BP1'!$K$5&gt;0,IF('BP5'!N55&gt;0,'BP5'!N55,0),0)</f>
        <v>0</v>
      </c>
      <c r="S54" s="210" t="str">
        <f>IF(AND('BP1'!$K$5=2,I54&lt;&gt;J54),"Note: Funds change in the outyears!","")&amp;IF(AND('BP1'!$K$5=3,OR(I54&lt;&gt;J54,I54&lt;&gt;K54,J54&lt;&gt;K54)),"Note: Funds change in the outyears!","")&amp;IF(AND('BP1'!$K$5=4,OR(I54&lt;&gt;J54,I54&lt;&gt;K54,I54&lt;&gt;L54,J54&lt;&gt;K54,J54&lt;&gt;L54,K54&lt;&gt;L54)),"Note: Funds change in the outyears!","")&amp;IF(AND('BP1'!$K$5=5,OR(I54&lt;&gt;J54,I54&lt;&gt;K54,I54&lt;&gt;L54,I54&lt;&gt;M54,J54&lt;&gt;K54,J54&lt;&gt;L54,J54&lt;&gt;M54,K54&lt;&gt;L54,K54&lt;&gt;M54,L54&lt;&gt;M54)),"Note: Funds change in the outyears!","")</f>
        <v/>
      </c>
      <c r="T54" s="210" t="str">
        <f>IF(AND('BP1'!$K$5=2,N54&lt;&gt;O54),"Note: Funds changes in the outyears!","")&amp;IF(AND('BP1'!$K$5=3,OR(N54&lt;&gt;O54,N54&lt;&gt;P54,O54&lt;&gt;P54)),"Note: Funds changes in the outyears!","")&amp;IF(AND('BP1'!$K$5=4,OR(N54&lt;&gt;O54,N54&lt;&gt;P54,N54&lt;&gt;Q54,O54&lt;&gt;P54,O54&lt;&gt;Q54,P54&lt;&gt;Q54)),"Note: Funds changes in the outyears!","")&amp;IF(AND('BP1'!$K$5=5,OR(N54&lt;&gt;O54,N54&lt;&gt;P54,N54&lt;&gt;Q54,N54&lt;&gt;R54,O54&lt;&gt;P54,O54&lt;&gt;Q54,O54&lt;&gt;R54,P54&lt;&gt;Q54,P54&lt;&gt;R54,Q54&lt;&gt;R54)),"Note: Funds changes in the outyears!","")</f>
        <v/>
      </c>
      <c r="U54" s="561" t="str">
        <f>IF(A54="","Blank","Populate")</f>
        <v>Blank</v>
      </c>
    </row>
    <row r="55" spans="1:21" ht="15" customHeight="1">
      <c r="A55" s="881"/>
      <c r="B55" s="881"/>
      <c r="C55" s="881"/>
      <c r="D55" s="881"/>
      <c r="E55" s="881"/>
      <c r="F55" s="881"/>
      <c r="G55" s="881"/>
      <c r="H55" s="881"/>
      <c r="I55" s="225"/>
      <c r="J55" s="225"/>
      <c r="K55" s="225"/>
      <c r="L55" s="225"/>
      <c r="M55" s="225"/>
      <c r="N55" s="225"/>
      <c r="O55" s="225"/>
      <c r="P55" s="225"/>
      <c r="Q55" s="225"/>
      <c r="R55" s="225"/>
      <c r="S55" s="210"/>
      <c r="T55" s="210"/>
      <c r="U55" s="561" t="str">
        <f>IF(A54="","Blank","Populate")</f>
        <v>Blank</v>
      </c>
    </row>
    <row r="56" spans="1:21" ht="30" customHeight="1">
      <c r="A56" s="880" t="str">
        <f>IF(OR('Cumulative Budget'!K56&gt;0,'Cumulative Budget'!N56&gt;0),"Publication Costs: Support is requested to cover the costs of publications. "&amp;'BP1'!P56,"")</f>
        <v/>
      </c>
      <c r="B56" s="880"/>
      <c r="C56" s="880"/>
      <c r="D56" s="880"/>
      <c r="E56" s="880"/>
      <c r="F56" s="880"/>
      <c r="G56" s="880"/>
      <c r="H56" s="880"/>
      <c r="I56" s="224">
        <f>IF('BP1'!$K$5&gt;0,IF('BP1'!K56&gt;0,'BP1'!K56,0),0)</f>
        <v>0</v>
      </c>
      <c r="J56" s="224">
        <f>IF('BP1'!$K$5&gt;1,IF('BP2'!K56&gt;0,'BP2'!K56,0),0)</f>
        <v>0</v>
      </c>
      <c r="K56" s="224">
        <f>IF('BP1'!$K$5&gt;2,IF('BP3'!K56&gt;0,'BP3'!K56,0),0)</f>
        <v>0</v>
      </c>
      <c r="L56" s="224">
        <f>IF('BP1'!$K$5&gt;3,IF('BP4'!K56&gt;0,'BP4'!K56,0),0)</f>
        <v>0</v>
      </c>
      <c r="M56" s="224">
        <f>IF('BP1'!$K$5&gt;4,IF('BP5'!K56&gt;0,'BP5'!K56,0),0)</f>
        <v>0</v>
      </c>
      <c r="N56" s="224">
        <f>IF('BP1'!$K$5&gt;0,IF('BP1'!N56&gt;0,'BP1'!N56,0),0)</f>
        <v>0</v>
      </c>
      <c r="O56" s="224">
        <f>IF('BP1'!$K$5&gt;0,IF('BP2'!N56&gt;0,'BP2'!N56,0),0)</f>
        <v>0</v>
      </c>
      <c r="P56" s="224">
        <f>IF('BP1'!$K$5&gt;0,IF('BP3'!N56&gt;0,'BP3'!N56,0),0)</f>
        <v>0</v>
      </c>
      <c r="Q56" s="224">
        <f>IF('BP1'!$K$5&gt;0,IF('BP4'!N56&gt;0,'BP4'!N56,0),0)</f>
        <v>0</v>
      </c>
      <c r="R56" s="224">
        <f>IF('BP1'!$K$5&gt;0,IF('BP5'!N56&gt;0,'BP5'!N56,0),0)</f>
        <v>0</v>
      </c>
      <c r="S56" s="210" t="str">
        <f>IF(AND('BP1'!$K$5=2,I56&lt;&gt;J56),"Note: Funds change in the outyears!","")&amp;IF(AND('BP1'!$K$5=3,OR(I56&lt;&gt;J56,I56&lt;&gt;K56,J56&lt;&gt;K56)),"Note: Funds change in the outyears!","")&amp;IF(AND('BP1'!$K$5=4,OR(I56&lt;&gt;J56,I56&lt;&gt;K56,I56&lt;&gt;L56,J56&lt;&gt;K56,J56&lt;&gt;L56,K56&lt;&gt;L56)),"Note: Funds change in the outyears!","")&amp;IF(AND('BP1'!$K$5=5,OR(I56&lt;&gt;J56,I56&lt;&gt;K56,I56&lt;&gt;L56,I56&lt;&gt;M56,J56&lt;&gt;K56,J56&lt;&gt;L56,J56&lt;&gt;M56,K56&lt;&gt;L56,K56&lt;&gt;M56,L56&lt;&gt;M56)),"Note: Funds change in the outyears!","")</f>
        <v/>
      </c>
      <c r="T56" s="210" t="str">
        <f>IF(AND('BP1'!$K$5=2,N56&lt;&gt;O56),"Note: Funds changes in the outyears!","")&amp;IF(AND('BP1'!$K$5=3,OR(N56&lt;&gt;O56,N56&lt;&gt;P56,O56&lt;&gt;P56)),"Note: Funds changes in the outyears!","")&amp;IF(AND('BP1'!$K$5=4,OR(N56&lt;&gt;O56,N56&lt;&gt;P56,N56&lt;&gt;Q56,O56&lt;&gt;P56,O56&lt;&gt;Q56,P56&lt;&gt;Q56)),"Note: Funds changes in the outyears!","")&amp;IF(AND('BP1'!$K$5=5,OR(N56&lt;&gt;O56,N56&lt;&gt;P56,N56&lt;&gt;Q56,N56&lt;&gt;R56,O56&lt;&gt;P56,O56&lt;&gt;Q56,O56&lt;&gt;R56,P56&lt;&gt;Q56,P56&lt;&gt;R56,Q56&lt;&gt;R56)),"Note: Funds changes in the outyears!","")</f>
        <v/>
      </c>
      <c r="U56" s="561" t="str">
        <f>IF(A56="","Blank","Populate")</f>
        <v>Blank</v>
      </c>
    </row>
    <row r="57" spans="1:21" ht="15" customHeight="1">
      <c r="A57" s="881"/>
      <c r="B57" s="881"/>
      <c r="C57" s="881"/>
      <c r="D57" s="881"/>
      <c r="E57" s="881"/>
      <c r="F57" s="881"/>
      <c r="G57" s="881"/>
      <c r="H57" s="881"/>
      <c r="I57" s="225"/>
      <c r="J57" s="225"/>
      <c r="K57" s="225"/>
      <c r="L57" s="225"/>
      <c r="M57" s="225"/>
      <c r="N57" s="225"/>
      <c r="O57" s="225"/>
      <c r="P57" s="225"/>
      <c r="Q57" s="225"/>
      <c r="R57" s="225"/>
      <c r="S57" s="210"/>
      <c r="T57" s="210"/>
      <c r="U57" s="561" t="str">
        <f>IF(A56="","Blank","Populate")</f>
        <v>Blank</v>
      </c>
    </row>
    <row r="58" spans="1:21" ht="30" customHeight="1">
      <c r="A58" s="880" t="str">
        <f>IF(OR('Cumulative Budget'!K57&gt;0,'Cumulative Budget'!N57&gt;0),"Consultant Services: Support is requested for consultant services. "&amp;'BP1'!P57,"")</f>
        <v/>
      </c>
      <c r="B58" s="880"/>
      <c r="C58" s="880"/>
      <c r="D58" s="880"/>
      <c r="E58" s="880"/>
      <c r="F58" s="880"/>
      <c r="G58" s="880"/>
      <c r="H58" s="880"/>
      <c r="I58" s="224">
        <f>IF('BP1'!$K$5&gt;0,IF('BP1'!K57&gt;0,'BP1'!K57,0),0)</f>
        <v>0</v>
      </c>
      <c r="J58" s="224">
        <f>IF('BP1'!$K$5&gt;1,IF('BP2'!K57&gt;0,'BP2'!K57,0),0)</f>
        <v>0</v>
      </c>
      <c r="K58" s="224">
        <f>IF('BP1'!$K$5&gt;2,IF('BP3'!K57&gt;0,'BP3'!K57,0),0)</f>
        <v>0</v>
      </c>
      <c r="L58" s="224">
        <f>IF('BP1'!$K$5&gt;3,IF('BP4'!K57&gt;0,'BP4'!K57,0),0)</f>
        <v>0</v>
      </c>
      <c r="M58" s="224">
        <f>IF('BP1'!$K$5&gt;4,IF('BP5'!K57&gt;0,'BP5'!K57,0),0)</f>
        <v>0</v>
      </c>
      <c r="N58" s="224">
        <f>IF('BP1'!$K$5&gt;0,IF('BP1'!N57&gt;0,'BP1'!N57,0),0)</f>
        <v>0</v>
      </c>
      <c r="O58" s="224">
        <f>IF('BP1'!$K$5&gt;0,IF('BP2'!N57&gt;0,'BP2'!N57,0),0)</f>
        <v>0</v>
      </c>
      <c r="P58" s="224">
        <f>IF('BP1'!$K$5&gt;0,IF('BP3'!N57&gt;0,'BP3'!N57,0),0)</f>
        <v>0</v>
      </c>
      <c r="Q58" s="224">
        <f>IF('BP1'!$K$5&gt;0,IF('BP4'!N57&gt;0,'BP4'!N57,0),0)</f>
        <v>0</v>
      </c>
      <c r="R58" s="224">
        <f>IF('BP1'!$K$5&gt;0,IF('BP5'!N57&gt;0,'BP5'!N57,0),0)</f>
        <v>0</v>
      </c>
      <c r="S58" s="210" t="str">
        <f>IF(AND('BP1'!$K$5=2,I58&lt;&gt;J58),"Note: Funds change in the outyears!","")&amp;IF(AND('BP1'!$K$5=3,OR(I58&lt;&gt;J58,I58&lt;&gt;K58,J58&lt;&gt;K58)),"Note: Funds change in the outyears!","")&amp;IF(AND('BP1'!$K$5=4,OR(I58&lt;&gt;J58,I58&lt;&gt;K58,I58&lt;&gt;L58,J58&lt;&gt;K58,J58&lt;&gt;L58,K58&lt;&gt;L58)),"Note: Funds change in the outyears!","")&amp;IF(AND('BP1'!$K$5=5,OR(I58&lt;&gt;J58,I58&lt;&gt;K58,I58&lt;&gt;L58,I58&lt;&gt;M58,J58&lt;&gt;K58,J58&lt;&gt;L58,J58&lt;&gt;M58,K58&lt;&gt;L58,K58&lt;&gt;M58,L58&lt;&gt;M58)),"Note: Funds change in the outyears!","")</f>
        <v/>
      </c>
      <c r="T58" s="210" t="str">
        <f>IF(AND('BP1'!$K$5=2,N58&lt;&gt;O58),"Note: Funds changes in the outyears!","")&amp;IF(AND('BP1'!$K$5=3,OR(N58&lt;&gt;O58,N58&lt;&gt;P58,O58&lt;&gt;P58)),"Note: Funds changes in the outyears!","")&amp;IF(AND('BP1'!$K$5=4,OR(N58&lt;&gt;O58,N58&lt;&gt;P58,N58&lt;&gt;Q58,O58&lt;&gt;P58,O58&lt;&gt;Q58,P58&lt;&gt;Q58)),"Note: Funds changes in the outyears!","")&amp;IF(AND('BP1'!$K$5=5,OR(N58&lt;&gt;O58,N58&lt;&gt;P58,N58&lt;&gt;Q58,N58&lt;&gt;R58,O58&lt;&gt;P58,O58&lt;&gt;Q58,O58&lt;&gt;R58,P58&lt;&gt;Q58,P58&lt;&gt;R58,Q58&lt;&gt;R58)),"Note: Funds changes in the outyears!","")</f>
        <v/>
      </c>
      <c r="U58" s="561" t="str">
        <f>IF(A58="","Blank","Populate")</f>
        <v>Blank</v>
      </c>
    </row>
    <row r="59" spans="1:21" ht="15" customHeight="1">
      <c r="A59" s="881"/>
      <c r="B59" s="881"/>
      <c r="C59" s="881"/>
      <c r="D59" s="881"/>
      <c r="E59" s="881"/>
      <c r="F59" s="881"/>
      <c r="G59" s="881"/>
      <c r="H59" s="881"/>
      <c r="I59" s="225"/>
      <c r="J59" s="225"/>
      <c r="K59" s="225"/>
      <c r="L59" s="225"/>
      <c r="M59" s="225"/>
      <c r="N59" s="225"/>
      <c r="O59" s="225"/>
      <c r="P59" s="225"/>
      <c r="Q59" s="225"/>
      <c r="R59" s="225"/>
      <c r="S59" s="210"/>
      <c r="T59" s="210"/>
      <c r="U59" s="561" t="str">
        <f>IF(A58="","Blank","Populate")</f>
        <v>Blank</v>
      </c>
    </row>
    <row r="60" spans="1:21" ht="30" customHeight="1">
      <c r="A60" s="880" t="str">
        <f>IF(OR('Cumulative Budget'!K58&gt;0,'Cumulative Budget'!N58&gt;0),"Computer Services: Support is requested for computer services. "&amp;'BP1'!P58,"")</f>
        <v/>
      </c>
      <c r="B60" s="880"/>
      <c r="C60" s="880"/>
      <c r="D60" s="880"/>
      <c r="E60" s="880"/>
      <c r="F60" s="880"/>
      <c r="G60" s="880"/>
      <c r="H60" s="880"/>
      <c r="I60" s="224">
        <f>IF('BP1'!$K$5&gt;0,IF('BP1'!K58&gt;0,'BP1'!K58,0),0)</f>
        <v>0</v>
      </c>
      <c r="J60" s="224">
        <f>IF('BP1'!$K$5&gt;1,IF('BP2'!K58&gt;0,'BP2'!K58,0),0)</f>
        <v>0</v>
      </c>
      <c r="K60" s="224">
        <f>IF('BP1'!$K$5&gt;2,IF('BP3'!K58&gt;0,'BP3'!K58,0),0)</f>
        <v>0</v>
      </c>
      <c r="L60" s="224">
        <f>IF('BP1'!$K$5&gt;3,IF('BP4'!K58&gt;0,'BP4'!K58,0),0)</f>
        <v>0</v>
      </c>
      <c r="M60" s="224">
        <f>IF('BP1'!$K$5&gt;4,IF('BP5'!K58&gt;0,'BP5'!K58,0),0)</f>
        <v>0</v>
      </c>
      <c r="N60" s="224">
        <f>IF('BP1'!$K$5&gt;0,IF('BP1'!N58&gt;0,'BP1'!N58,0),0)</f>
        <v>0</v>
      </c>
      <c r="O60" s="224">
        <f>IF('BP1'!$K$5&gt;0,IF('BP2'!N58&gt;0,'BP2'!N58,0),0)</f>
        <v>0</v>
      </c>
      <c r="P60" s="224">
        <f>IF('BP1'!$K$5&gt;0,IF('BP3'!N58&gt;0,'BP3'!N58,0),0)</f>
        <v>0</v>
      </c>
      <c r="Q60" s="224">
        <f>IF('BP1'!$K$5&gt;0,IF('BP4'!N58&gt;0,'BP4'!N58,0),0)</f>
        <v>0</v>
      </c>
      <c r="R60" s="224">
        <f>IF('BP1'!$K$5&gt;0,IF('BP5'!N58&gt;0,'BP5'!N58,0),0)</f>
        <v>0</v>
      </c>
      <c r="S60" s="210" t="str">
        <f>IF(AND('BP1'!$K$5=2,I60&lt;&gt;J60),"Note: Funds change in the outyears!","")&amp;IF(AND('BP1'!$K$5=3,OR(I60&lt;&gt;J60,I60&lt;&gt;K60,J60&lt;&gt;K60)),"Note: Funds change in the outyears!","")&amp;IF(AND('BP1'!$K$5=4,OR(I60&lt;&gt;J60,I60&lt;&gt;K60,I60&lt;&gt;L60,J60&lt;&gt;K60,J60&lt;&gt;L60,K60&lt;&gt;L60)),"Note: Funds change in the outyears!","")&amp;IF(AND('BP1'!$K$5=5,OR(I60&lt;&gt;J60,I60&lt;&gt;K60,I60&lt;&gt;L60,I60&lt;&gt;M60,J60&lt;&gt;K60,J60&lt;&gt;L60,J60&lt;&gt;M60,K60&lt;&gt;L60,K60&lt;&gt;M60,L60&lt;&gt;M60)),"Note: Funds change in the outyears!","")</f>
        <v/>
      </c>
      <c r="T60" s="210" t="str">
        <f>IF(AND('BP1'!$K$5=2,N60&lt;&gt;O60),"Note: Funds changes in the outyears!","")&amp;IF(AND('BP1'!$K$5=3,OR(N60&lt;&gt;O60,N60&lt;&gt;P60,O60&lt;&gt;P60)),"Note: Funds changes in the outyears!","")&amp;IF(AND('BP1'!$K$5=4,OR(N60&lt;&gt;O60,N60&lt;&gt;P60,N60&lt;&gt;Q60,O60&lt;&gt;P60,O60&lt;&gt;Q60,P60&lt;&gt;Q60)),"Note: Funds changes in the outyears!","")&amp;IF(AND('BP1'!$K$5=5,OR(N60&lt;&gt;O60,N60&lt;&gt;P60,N60&lt;&gt;Q60,N60&lt;&gt;R60,O60&lt;&gt;P60,O60&lt;&gt;Q60,O60&lt;&gt;R60,P60&lt;&gt;Q60,P60&lt;&gt;R60,Q60&lt;&gt;R60)),"Note: Funds changes in the outyears!","")</f>
        <v/>
      </c>
      <c r="U60" s="561" t="str">
        <f>IF(A60="","Blank","Populate")</f>
        <v>Blank</v>
      </c>
    </row>
    <row r="61" spans="1:21" ht="15" customHeight="1">
      <c r="A61" s="881"/>
      <c r="B61" s="881"/>
      <c r="C61" s="881"/>
      <c r="D61" s="881"/>
      <c r="E61" s="881"/>
      <c r="F61" s="881"/>
      <c r="G61" s="881"/>
      <c r="H61" s="881"/>
      <c r="I61" s="225"/>
      <c r="J61" s="225"/>
      <c r="K61" s="225"/>
      <c r="L61" s="225"/>
      <c r="M61" s="225"/>
      <c r="N61" s="225"/>
      <c r="O61" s="225"/>
      <c r="P61" s="225"/>
      <c r="Q61" s="225"/>
      <c r="R61" s="225"/>
      <c r="S61" s="210"/>
      <c r="T61" s="210"/>
      <c r="U61" s="561" t="str">
        <f>IF(A60="","Blank","Populate")</f>
        <v>Blank</v>
      </c>
    </row>
    <row r="62" spans="1:21" ht="30" customHeight="1">
      <c r="A62" s="880" t="str">
        <f>IF(OR('Cumulative Budget'!K59&gt;0,'Cumulative Budget'!N59&gt;0),"Tuition: Support is requested to cover the cost of graduate student tuition. Tuition is inflated 5% each University fiscal year starting in September.","")</f>
        <v/>
      </c>
      <c r="B62" s="880"/>
      <c r="C62" s="880"/>
      <c r="D62" s="880"/>
      <c r="E62" s="880"/>
      <c r="F62" s="880"/>
      <c r="G62" s="880"/>
      <c r="H62" s="880"/>
      <c r="I62" s="224">
        <f>IF('BP1'!$K$5&gt;0,IF('BP1'!K59&gt;0,1,0),0)</f>
        <v>0</v>
      </c>
      <c r="J62" s="224">
        <f>IF('BP1'!$K$5&gt;1,IF('BP2'!K59&gt;0,1,0),0)</f>
        <v>0</v>
      </c>
      <c r="K62" s="224">
        <f>IF('BP1'!$K$5&gt;2,IF('BP3'!K59&gt;0,1,0),0)</f>
        <v>0</v>
      </c>
      <c r="L62" s="224">
        <f>IF('BP1'!$K$5&gt;3,IF('BP4'!K59&gt;0,1,0),0)</f>
        <v>0</v>
      </c>
      <c r="M62" s="224">
        <f>IF('BP1'!$K$5&gt;4,IF('BP5'!K59&gt;0,1,0),0)</f>
        <v>0</v>
      </c>
      <c r="N62" s="224">
        <f>IF('BP1'!$K$5&gt;0,IF('BP1'!N59&gt;0,1,0),0)</f>
        <v>0</v>
      </c>
      <c r="O62" s="224">
        <f>IF('BP1'!$K$5&gt;1,IF('BP2'!N59&gt;0,1,0),0)</f>
        <v>0</v>
      </c>
      <c r="P62" s="224">
        <f>IF('BP1'!$K$5&gt;2,IF('BP3'!N59&gt;0,1,0),0)</f>
        <v>0</v>
      </c>
      <c r="Q62" s="224">
        <f>IF('BP1'!$K$5&gt;3,IF('BP4'!N59&gt;0,1,0),0)</f>
        <v>0</v>
      </c>
      <c r="R62" s="224">
        <f>IF('BP1'!$K$5&gt;4,IF('BP5'!N59&gt;0,1,0),0)</f>
        <v>0</v>
      </c>
      <c r="S62" s="210" t="str">
        <f>IF(AND('BP1'!$K$5=2,I62&lt;&gt;J62),"Note: Students not requested in all years!","")&amp;IF(AND('BP1'!$K$5=3,OR(I62&lt;&gt;J62,I62&lt;&gt;K62,J62&lt;&gt;K62)),"Note: Students not requested in all years!","")&amp;IF(AND('BP1'!$K$5=4,OR(I62&lt;&gt;J62,I62&lt;&gt;K62,I62&lt;&gt;L62,J62&lt;&gt;K62,J62&lt;&gt;L62,K62&lt;&gt;L62)),"Note: Students not requested in all years!","")&amp;IF(AND('BP1'!$K$5=5,OR(I62&lt;&gt;J62,I62&lt;&gt;K62,I62&lt;&gt;L62,I62&lt;&gt;M62,J62&lt;&gt;K62,J62&lt;&gt;L62,J62&lt;&gt;M62,K62&lt;&gt;L62,K62&lt;&gt;M62,L62&lt;&gt;M62)),"Note: Students not requested in all years!","")</f>
        <v/>
      </c>
      <c r="T62" s="210" t="str">
        <f>IF(AND('BP1'!$K$5=2,N62&lt;&gt;O62),"Note: Funds changes in the outyears!","")&amp;IF(AND('BP1'!$K$5=3,OR(N62&lt;&gt;O62,N62&lt;&gt;P62,O62&lt;&gt;P62)),"Note: Funds changes in the outyears!","")&amp;IF(AND('BP1'!$K$5=4,OR(N62&lt;&gt;O62,N62&lt;&gt;P62,N62&lt;&gt;Q62,O62&lt;&gt;P62,O62&lt;&gt;Q62,P62&lt;&gt;Q62)),"Note: Funds changes in the outyears!","")&amp;IF(AND('BP1'!$K$5=5,OR(N62&lt;&gt;O62,N62&lt;&gt;P62,N62&lt;&gt;Q62,N62&lt;&gt;R62,O62&lt;&gt;P62,O62&lt;&gt;Q62,O62&lt;&gt;R62,P62&lt;&gt;Q62,P62&lt;&gt;R62,Q62&lt;&gt;R62)),"Note: Funds changes in the outyears!","")</f>
        <v/>
      </c>
      <c r="U62" s="561" t="str">
        <f>IF(A62="","Blank","Populate")</f>
        <v>Blank</v>
      </c>
    </row>
    <row r="63" spans="1:21" ht="15" customHeight="1">
      <c r="A63" s="881"/>
      <c r="B63" s="881"/>
      <c r="C63" s="881"/>
      <c r="D63" s="881"/>
      <c r="E63" s="881"/>
      <c r="F63" s="881"/>
      <c r="G63" s="881"/>
      <c r="H63" s="881"/>
      <c r="I63" s="225"/>
      <c r="J63" s="225"/>
      <c r="K63" s="225"/>
      <c r="L63" s="225"/>
      <c r="M63" s="225"/>
      <c r="N63" s="225"/>
      <c r="O63" s="225"/>
      <c r="P63" s="225"/>
      <c r="Q63" s="225"/>
      <c r="R63" s="225"/>
      <c r="S63" s="210"/>
      <c r="T63" s="210"/>
      <c r="U63" s="561" t="str">
        <f>IF(A62="","Blank","Populate")</f>
        <v>Blank</v>
      </c>
    </row>
    <row r="64" spans="1:21" ht="30" customHeight="1">
      <c r="A64" s="880" t="str">
        <f>IF(OR('Cumulative Budget'!K60+'Cumulative Budget'!K61&gt;0,'Cumulative Budget'!N60+'Cumulative Budget'!N61&gt;0),"Other: Support is requested to cover other direct costs. "&amp;'BP1'!P60,"")</f>
        <v/>
      </c>
      <c r="B64" s="880"/>
      <c r="C64" s="880"/>
      <c r="D64" s="880"/>
      <c r="E64" s="880"/>
      <c r="F64" s="880"/>
      <c r="G64" s="880"/>
      <c r="H64" s="880"/>
      <c r="I64" s="224">
        <f>IF('BP1'!$K$5&gt;0,IF('BP1'!K60+'BP1'!K61&gt;0,'BP1'!K60+'BP1'!K61,0),0)</f>
        <v>0</v>
      </c>
      <c r="J64" s="224">
        <f>IF('BP1'!$K$5&gt;1,IF('BP2'!K60+'BP2'!K61&gt;0,'BP2'!K60+'BP2'!K61,0),0)</f>
        <v>0</v>
      </c>
      <c r="K64" s="224">
        <f>IF('BP1'!$K$5&gt;2,IF('BP3'!K60+'BP3'!K61&gt;0,'BP3'!K60+'BP3'!K61,0),0)</f>
        <v>0</v>
      </c>
      <c r="L64" s="224">
        <f>IF('BP1'!$K$5&gt;3,IF('BP4'!K60+'BP4'!K61&gt;0,'BP4'!K60+'BP4'!K61,0),0)</f>
        <v>0</v>
      </c>
      <c r="M64" s="224">
        <f>IF('BP1'!$K$5&gt;4,IF('BP5'!K60+'BP5'!K61&gt;0,'BP5'!K60+'BP5'!K61,0),0)</f>
        <v>0</v>
      </c>
      <c r="N64" s="224">
        <f>IF('BP1'!$K$5&gt;0,IF('BP1'!N60+'BP1'!N61&gt;0,'BP1'!N60+'BP1'!N61,0),0)</f>
        <v>0</v>
      </c>
      <c r="O64" s="224">
        <f>IF('BP1'!$K$5&gt;1,IF('BP2'!N60+'BP2'!N61&gt;0,'BP2'!N60+'BP2'!N61,0),0)</f>
        <v>0</v>
      </c>
      <c r="P64" s="224">
        <f>IF('BP1'!$K$5&gt;2,IF('BP3'!N60+'BP3'!N61&gt;0,'BP3'!N60+'BP3'!N61,0),0)</f>
        <v>0</v>
      </c>
      <c r="Q64" s="224">
        <f>IF('BP1'!$K$5&gt;3,IF('BP4'!N60+'BP4'!N61&gt;0,'BP4'!N60+'BP4'!N61,0),0)</f>
        <v>0</v>
      </c>
      <c r="R64" s="224">
        <f>IF('BP1'!$K$5&gt;4,IF('BP5'!N60+'BP5'!N61&gt;0,'BP5'!N60+'BP5'!N61,0),0)</f>
        <v>0</v>
      </c>
      <c r="S64" s="210" t="str">
        <f>IF(AND('BP1'!$K$5=2,I64&lt;&gt;J64),"Note: Funds change in the outyears!","")&amp;IF(AND('BP1'!$K$5=3,OR(I64&lt;&gt;J64,I64&lt;&gt;K64,J64&lt;&gt;K64)),"Note: Funds change in the outyears!","")&amp;IF(AND('BP1'!$K$5=4,OR(I64&lt;&gt;J64,I64&lt;&gt;K64,I64&lt;&gt;L64,J64&lt;&gt;K64,J64&lt;&gt;L64,K64&lt;&gt;L64)),"Note: Funds change in the outyears!","")&amp;IF(AND('BP1'!$K$5=5,OR(I64&lt;&gt;J64,I64&lt;&gt;K64,I64&lt;&gt;L64,I64&lt;&gt;M64,J64&lt;&gt;K64,J64&lt;&gt;L64,J64&lt;&gt;M64,K64&lt;&gt;L64,K64&lt;&gt;M64,L64&lt;&gt;M64)),"Note: Funds change in the outyears!","")</f>
        <v/>
      </c>
      <c r="T64" s="210" t="str">
        <f>IF(AND('BP1'!$K$5=2,N64&lt;&gt;O64),"Note: Funds changes in the outyears!","")&amp;IF(AND('BP1'!$K$5=3,OR(N64&lt;&gt;O64,N64&lt;&gt;P64,O64&lt;&gt;P64)),"Note: Funds changes in the outyears!","")&amp;IF(AND('BP1'!$K$5=4,OR(N64&lt;&gt;O64,N64&lt;&gt;P64,N64&lt;&gt;Q64,O64&lt;&gt;P64,O64&lt;&gt;Q64,P64&lt;&gt;Q64)),"Note: Funds changes in the outyears!","")&amp;IF(AND('BP1'!$K$5=5,OR(N64&lt;&gt;O64,N64&lt;&gt;P64,N64&lt;&gt;Q64,N64&lt;&gt;R64,O64&lt;&gt;P64,O64&lt;&gt;Q64,O64&lt;&gt;R64,P64&lt;&gt;Q64,P64&lt;&gt;R64,Q64&lt;&gt;R64)),"Note: Funds changes in the outyears!","")</f>
        <v/>
      </c>
      <c r="U64" s="561" t="str">
        <f>IF(A64="","Blank","Populate")</f>
        <v>Blank</v>
      </c>
    </row>
    <row r="65" spans="1:21" ht="15" customHeight="1">
      <c r="A65" s="881"/>
      <c r="B65" s="881"/>
      <c r="C65" s="881"/>
      <c r="D65" s="881"/>
      <c r="E65" s="881"/>
      <c r="F65" s="881"/>
      <c r="G65" s="881"/>
      <c r="H65" s="881"/>
      <c r="I65" s="225"/>
      <c r="J65" s="225"/>
      <c r="K65" s="225"/>
      <c r="L65" s="225"/>
      <c r="M65" s="225"/>
      <c r="N65" s="225"/>
      <c r="O65" s="225"/>
      <c r="P65" s="225"/>
      <c r="Q65" s="225"/>
      <c r="R65" s="225"/>
      <c r="S65" s="210"/>
      <c r="T65" s="210"/>
      <c r="U65" s="561" t="str">
        <f>IF(A64="","Blank","Populate")</f>
        <v>Blank</v>
      </c>
    </row>
    <row r="66" spans="1:21" ht="60" customHeight="1">
      <c r="A66" s="880" t="str">
        <f>IF(SUM('Cumulative Budget'!K62:'Cumulative Budget'!K73)&gt;0,"Subaward"&amp;IF(SUM('Cumulative Budget'!K63:'Cumulative Budget'!K73)&gt;0,"s","")&amp;": Support is requested for "&amp;IF(SUM('Cumulative Budget'!K63:'Cumulative Budget'!K73)&gt;0,"the following subawards: ","a subaward at ")&amp;IF('Cumulative Budget'!K62&gt;0,'BP1'!G62&amp;", led by SubK PI "&amp;'BP1'!P62&amp;". "&amp;'BP1'!Q62,"")&amp;IF('Cumulative Budget'!K63&gt;0,"; "&amp;'BP1'!G63&amp;", led by SubK PI "&amp;'BP1'!P63&amp;". "&amp;'BP1'!Q63,"")&amp;IF('Cumulative Budget'!K64&gt;0,"; "&amp;'BP1'!G64&amp;", led by SubK PI "&amp;'BP1'!P64&amp;". "&amp;'BP1'!Q64,"")&amp;IF('Cumulative Budget'!K65&gt;0,"; "&amp;'BP1'!G65&amp;", led by SubK PI "&amp;'BP1'!P65&amp;". "&amp;'BP1'!Q65,"")&amp;IF('Cumulative Budget'!K66&gt;0,"; "&amp;'BP1'!G66&amp;", led by SubK PI "&amp;'BP1'!P66&amp;". "&amp;'BP1'!Q66,"")&amp;IF('Cumulative Budget'!K67&gt;0,"; "&amp;'BP1'!G67&amp;", led by SubK PI "&amp;'BP1'!P67&amp;". "&amp;'BP1'!Q67,""&amp;IF('Cumulative Budget'!K68&gt;0,"; "&amp;'BP1'!G68&amp;", led by SubK PI "&amp;'BP1'!P68&amp;". "&amp;'BP1'!Q68,""))&amp;IF('Cumulative Budget'!K69&gt;0,"; "&amp;'BP1'!G69&amp;", led by SubK PI "&amp;'BP1'!P69&amp;". "&amp;'BP1'!Q69,"")&amp;IF('Cumulative Budget'!K70&gt;0,"; "&amp;'BP1'!G70&amp;", led by SubK PI "&amp;'BP1'!P70&amp;". "&amp;'BP1'!Q70,"")&amp;IF('Cumulative Budget'!K71&gt;0,"; "&amp;'BP1'!G71&amp;", led by SubK PI "&amp;'BP1'!P71&amp;". "&amp;'BP1'!Q71&amp;IF(ISBLANK('BP1'!Q71),," "),"")&amp;IF('Cumulative Budget'!K72&gt;0,"; "&amp;'BP1'!G72&amp;", led by SubK PI "&amp;'BP1'!P72&amp;". "&amp;'BP1'!Q72,"")&amp;IF('Cumulative Budget'!K73&gt;0,"; "&amp;'BP1'!G73&amp;", led by SubK PI "&amp;'BP1'!P73&amp;". "&amp;'BP1'!Q73,"")&amp;IF('BP1'!K3="MTDC",IF(SUM('Cumulative Budget'!K62:'Cumulative Budget'!K73)&gt;0,". F&amp;A only accrues on the first $25,000 of each subaward.",""),""),"")</f>
        <v/>
      </c>
      <c r="B66" s="880"/>
      <c r="C66" s="880"/>
      <c r="D66" s="880"/>
      <c r="E66" s="880"/>
      <c r="F66" s="880"/>
      <c r="G66" s="880"/>
      <c r="H66" s="880"/>
      <c r="I66" s="224">
        <f>IF('BP1'!$K$5&gt;0,IF(SUM('BP1'!K62:'BP1'!K73)&gt;0,SUM('BP1'!K62:'BP1'!K73),0),0)</f>
        <v>0</v>
      </c>
      <c r="J66" s="224">
        <f>IF('BP1'!$K$5&gt;1,IF(SUM('BP2'!K62:'BP2'!K73)&gt;0,SUM('BP2'!K62:'BP2'!K73),0),0)</f>
        <v>0</v>
      </c>
      <c r="K66" s="224">
        <f>IF('BP1'!$K$5&gt;2,IF(SUM('BP3'!K62:'BP3'!K73)&gt;0,SUM('BP3'!K62:'BP3'!K73),0),0)</f>
        <v>0</v>
      </c>
      <c r="L66" s="224">
        <f>IF('BP1'!$K$5&gt;3,IF(SUM('BP4'!K62:'BP4'!K73)&gt;0,SUM('BP4'!K62:'BP4'!K73),0),0)</f>
        <v>0</v>
      </c>
      <c r="M66" s="224">
        <f>IF('BP1'!$K$5&gt;4,IF(SUM('BP5'!K62:'BP5'!K73)&gt;0,SUM('BP5'!K62:'BP5'!K73),0),0)</f>
        <v>0</v>
      </c>
      <c r="N66" s="224">
        <f>IF('BP1'!$K$5&gt;0,IF(SUM('BP1'!N62:'BP1'!N73)&gt;0,SUM('BP1'!N62:'BP1'!N73),0),0)</f>
        <v>0</v>
      </c>
      <c r="O66" s="224">
        <f>IF('BP1'!$K$5&gt;1,IF(SUM('BP2'!N62:'BP2'!N73)&gt;0,SUM('BP2'!N62:'BP2'!N73),0),0)</f>
        <v>0</v>
      </c>
      <c r="P66" s="224">
        <f>IF('BP1'!$K$5&gt;2,IF(SUM('BP3'!N62:'BP3'!N73)&gt;0,SUM('BP3'!N62:'BP3'!N73),0),0)</f>
        <v>0</v>
      </c>
      <c r="Q66" s="224">
        <f>IF('BP1'!$K$5&gt;3,IF(SUM('BP4'!N62:'BP4'!N73)&gt;0,SUM('BP4'!N62:'BP4'!N73),0),0)</f>
        <v>0</v>
      </c>
      <c r="R66" s="224">
        <f>IF('BP1'!$K$5&gt;4,IF(SUM('BP5'!N62:'BP5'!N73)&gt;0,SUM('BP5'!N62:'BP5'!N73),0),0)</f>
        <v>0</v>
      </c>
      <c r="S66" s="210" t="str">
        <f>IF(AND('BP1'!$K$5=2,I66&lt;&gt;J66),"Note: Funds change in the outyears!","")&amp;IF(AND('BP1'!$K$5=3,OR(I66&lt;&gt;J66,I66&lt;&gt;K66,J66&lt;&gt;K66)),"Note: Funds change in the outyears!","")&amp;IF(AND('BP1'!$K$5=4,OR(I66&lt;&gt;J66,I66&lt;&gt;K66,I66&lt;&gt;L66,J66&lt;&gt;K66,J66&lt;&gt;L66,K66&lt;&gt;L66)),"Note: Funds change in the outyears!","")&amp;IF(AND('BP1'!$K$5=5,OR(I66&lt;&gt;J66,I66&lt;&gt;K66,I66&lt;&gt;L66,I66&lt;&gt;M66,J66&lt;&gt;K66,J66&lt;&gt;L66,J66&lt;&gt;M66,K66&lt;&gt;L66,K66&lt;&gt;M66,L66&lt;&gt;M66)),"Note: Funds change in the outyears!","")</f>
        <v/>
      </c>
      <c r="T66" s="210" t="str">
        <f>IF(AND('BP1'!$K$5=2,N66&lt;&gt;O66),"Note: Funds changes in the outyears!","")&amp;IF(AND('BP1'!$K$5=3,OR(N66&lt;&gt;O66,N66&lt;&gt;P66,O66&lt;&gt;P66)),"Note: Funds changes in the outyears!","")&amp;IF(AND('BP1'!$K$5=4,OR(N66&lt;&gt;O66,N66&lt;&gt;P66,N66&lt;&gt;Q66,O66&lt;&gt;P66,O66&lt;&gt;Q66,P66&lt;&gt;Q66)),"Note: Funds changes in the outyears!","")&amp;IF(AND('BP1'!$K$5=5,OR(N66&lt;&gt;O66,N66&lt;&gt;P66,N66&lt;&gt;Q66,N66&lt;&gt;R66,O66&lt;&gt;P66,O66&lt;&gt;Q66,O66&lt;&gt;R66,P66&lt;&gt;Q66,P66&lt;&gt;R66,Q66&lt;&gt;R66)),"Note: Funds changes in the outyears!","")</f>
        <v/>
      </c>
      <c r="U66" s="561" t="str">
        <f>IF(A66="","Blank","Populate")</f>
        <v>Blank</v>
      </c>
    </row>
    <row r="67" spans="1:21" ht="15" customHeight="1">
      <c r="A67" s="881"/>
      <c r="B67" s="881"/>
      <c r="C67" s="881"/>
      <c r="D67" s="881"/>
      <c r="E67" s="881"/>
      <c r="F67" s="881"/>
      <c r="G67" s="881"/>
      <c r="H67" s="881"/>
      <c r="I67" s="225"/>
      <c r="J67" s="225"/>
      <c r="K67" s="225"/>
      <c r="L67" s="225"/>
      <c r="M67" s="225"/>
      <c r="N67" s="225"/>
      <c r="O67" s="225"/>
      <c r="P67" s="225"/>
      <c r="Q67" s="225"/>
      <c r="R67" s="225"/>
      <c r="S67" s="210"/>
      <c r="T67" s="210"/>
      <c r="U67" s="561" t="str">
        <f>IF(A66="","Blank","Populate")</f>
        <v>Blank</v>
      </c>
    </row>
    <row r="68" spans="1:21" ht="15" customHeight="1">
      <c r="A68" s="882" t="s">
        <v>920</v>
      </c>
      <c r="B68" s="882"/>
      <c r="C68" s="882"/>
      <c r="D68" s="882"/>
      <c r="E68" s="882"/>
      <c r="F68" s="882"/>
      <c r="G68" s="882"/>
      <c r="H68" s="882"/>
      <c r="I68" s="226"/>
      <c r="J68" s="226"/>
      <c r="K68" s="226"/>
      <c r="L68" s="226"/>
      <c r="M68" s="226"/>
      <c r="N68" s="226"/>
      <c r="O68" s="226"/>
      <c r="P68" s="226"/>
      <c r="Q68" s="226"/>
      <c r="R68" s="226"/>
      <c r="S68" s="210"/>
      <c r="T68" s="210"/>
      <c r="U68" s="561" t="str">
        <f>IF(A68="","Blank","Populate")</f>
        <v>Populate</v>
      </c>
    </row>
    <row r="69" spans="1:21" ht="15" customHeight="1">
      <c r="A69" s="879" t="str">
        <f ca="1">IF(AND('Cumulative Budget'!K79=0,'Cumulative Budget'!N79&gt;0),"Per sponsor guidelines, no F&amp;A is allowed on the sponsor budget. Unrecovered F&amp;A has been calculated based on the following approved rates:",IF('BP1'!K2="Federal",IF('BP1'!L2="Off Campus","F&amp;A has been calculated based on the following DHHS approved rates:",IF('BP1'!L2="DoD Contract","F&amp;A has been calculated based on the following DHHS approved rates:",IF('BP1'!L2="No F&amp;A","Per sponsor guidelines, no F&amp;A is allowed.",IF('BP1'!L2="Custom","Per sponsor guidelines, F&amp;A has been capped at "&amp;TEXT('BP1'!I77,"0.00%")&amp;".","F&amp;A has been calculated based on the following DHHS approved rates:")))),IF('BP1'!L2="Off Campus","F&amp;A has been calculated based on the following approved rates:",IF('BP1'!L2="No F&amp;A","Per sponsor guidelines, no F&amp;A is allowed.",IF('BP1'!L2="Custom","Per sponsor guidelines, F&amp;A has been capped at "&amp;TEXT('BP1'!I77,"0.00%")&amp;".","F&amp;A has been calculated based on the following approved rates:")))))</f>
        <v>F&amp;A has been calculated based on the following DHHS approved rates:</v>
      </c>
      <c r="B69" s="879"/>
      <c r="C69" s="879"/>
      <c r="D69" s="879"/>
      <c r="E69" s="879"/>
      <c r="F69" s="879"/>
      <c r="G69" s="879"/>
      <c r="H69" s="879"/>
      <c r="I69" s="227"/>
      <c r="J69" s="227"/>
      <c r="K69" s="227"/>
      <c r="L69" s="227"/>
      <c r="M69" s="227"/>
      <c r="N69" s="227"/>
      <c r="O69" s="227"/>
      <c r="P69" s="227"/>
      <c r="Q69" s="227"/>
      <c r="R69" s="227"/>
      <c r="S69" s="210"/>
      <c r="T69" s="210"/>
      <c r="U69" s="561" t="str">
        <f ca="1">IF(A69="","Blank","Populate")</f>
        <v>Populate</v>
      </c>
    </row>
    <row r="70" spans="1:21" ht="15" customHeight="1">
      <c r="A70" s="390" t="str">
        <f>IF('BP1'!K2="Federal",IF('BP1'!L2="Off Campus","26.00%",IF('BP1'!L2="DoD Contract","55.50%",IF('BP1'!L2="No F&amp;A","",IF('BP1'!L2="Custom","","55.50%")))),IF('BP1'!L2="Off Campus","32.80%",IF('BP1'!L2="No F&amp;A","",IF('BP1'!L2="Custom","","68.90%"))))</f>
        <v>55.50%</v>
      </c>
      <c r="B70" s="879" t="str">
        <f>IF('BP1'!K3="MTDC",IF('BP1'!K2="Federal",IF('BP1'!L2="Off Campus","- MTDC 9/1/15-8/31/16 - Predetermined (Off Campus)",IF('BP1'!L2="DoD Contract","- MTDC 9/1/15-8/31/16 - Predetermined (DoD Contract)",IF('BP1'!L2="No F&amp;A","",IF('BP1'!L2="Custom","","- MTDC 9/1/15-8/31/16 - Predetermined")))),IF('BP1'!L2="Off Campus","- MTDC 9/1/15-8/31/16 - Predetermined (Off Campus)",IF('BP1'!L2="No F&amp;A","",IF('BP1'!L2="Custom","","- MTDC 9/1/15-8/31/16 - Predetermined")))),IF('BP1'!K2="Federal",IF('BP1'!L2="Off Campus","- TDC 9/1/15-8/31/16 - Predetermined (Off Campus)",IF('BP1'!L2="DoD Contract","- TDC 9/1/15-8/31/16 - Predetermined (DoD Contract)",IF('BP1'!L2="No F&amp;A","",IF('BP1'!L2="Custom","","- TDC 9/1/15-8/31/16 - Predetermined")))),IF('BP1'!L2="Off Campus","- TDC 9/1/15-8/31/16 Predetermined (Off Campus)",IF('BP1'!L2="No F&amp;A","",IF('BP1'!L2="Custom","","- TDC 9/1/15-8/31/16 Predetermined")))))</f>
        <v>- MTDC 9/1/15-8/31/16 - Predetermined</v>
      </c>
      <c r="C70" s="879"/>
      <c r="D70" s="879"/>
      <c r="E70" s="879"/>
      <c r="F70" s="879"/>
      <c r="G70" s="879"/>
      <c r="H70" s="879"/>
      <c r="I70" s="227"/>
      <c r="J70" s="227"/>
      <c r="K70" s="227"/>
      <c r="L70" s="227"/>
      <c r="M70" s="227"/>
      <c r="N70" s="227"/>
      <c r="O70" s="227"/>
      <c r="P70" s="227"/>
      <c r="Q70" s="227"/>
      <c r="R70" s="227"/>
      <c r="S70" s="210"/>
      <c r="T70" s="210"/>
      <c r="U70" s="561" t="str">
        <f ca="1">IF(AND(A70&lt;&gt;"",'Cumulative Budget'!K8&lt;=DATE(2016,8,31),'Cumulative Budget'!K10&gt;=DATE(2015,9,1)),"Populate","Blank")</f>
        <v>Blank</v>
      </c>
    </row>
    <row r="71" spans="1:21" ht="15" customHeight="1">
      <c r="A71" s="390" t="str">
        <f>IF('BP1'!K2="Federal",IF('BP1'!L2="Off Campus","26.00%",IF('BP1'!L2="DoD Contract","57.50%",IF('BP1'!L2="No F&amp;A","",IF('BP1'!L2="Custom","","56.50%")))),IF('BP1'!L2="Off Campus","32.80%",IF('BP1'!L2="No F&amp;A","",IF('BP1'!L2="Custom","","68.90%"))))</f>
        <v>56.50%</v>
      </c>
      <c r="B71" s="879" t="str">
        <f>IF('BP1'!K3="MTDC",IF('BP1'!K2="Federal",IF('BP1'!L2="Off Campus","- MTDC 9/1/16-8/31/17 - Predetermined (Off Campus)",IF('BP1'!L2="DoD Contract","- MTDC 9/1/16-8/31/17 - Predetermined (DoD Contract)",IF('BP1'!L2="No F&amp;A","",IF('BP1'!L2="Custom","","- MTDC 9/1/16-8/31/17 - Predetermined")))),IF('BP1'!L2="Off Campus","- MTDC 9/1/16-8/31/17 - Predetermined (Off Campus)",IF('BP1'!L2="No F&amp;A","",IF('BP1'!L2="Custom","","- MTDC 9/1/16-8/31/17 - Predetermined")))),IF('BP1'!K2="Federal",IF('BP1'!L2="Off Campus","- TDC 9/1/16-8/31/17 - Predetermined (Off Campus)",IF('BP1'!L2="DoD Contract","- TDC 9/1/16-8/31/17 - Predetermined (DoD Contract)",IF('BP1'!L2="No F&amp;A","",IF('BP1'!L2="Custom","","- TDC 9/1/16-8/31/17 - Predetermined")))),IF('BP1'!L2="Off Campus","- TDC 9/1/16-8/31/17 - Predetermined (Off Campus)",IF('BP1'!L2="No F&amp;A","",IF('BP1'!L2="Custom","","- TDC 9/1/16-8/31/17 - Predetermined")))))</f>
        <v>- MTDC 9/1/16-8/31/17 - Predetermined</v>
      </c>
      <c r="C71" s="879"/>
      <c r="D71" s="879"/>
      <c r="E71" s="879"/>
      <c r="F71" s="879"/>
      <c r="G71" s="879"/>
      <c r="H71" s="879"/>
      <c r="I71" s="227"/>
      <c r="J71" s="227"/>
      <c r="K71" s="227"/>
      <c r="L71" s="227"/>
      <c r="M71" s="227"/>
      <c r="N71" s="227"/>
      <c r="O71" s="227"/>
      <c r="P71" s="227"/>
      <c r="Q71" s="227"/>
      <c r="R71" s="227"/>
      <c r="S71" s="210"/>
      <c r="T71" s="210"/>
      <c r="U71" s="561" t="str">
        <f ca="1">IF(AND(A71&lt;&gt;"",'Cumulative Budget'!K8&lt;=DATE(2017,8,31),'Cumulative Budget'!K10&gt;=DATE(2016,9,1)),"Populate","Blank")</f>
        <v>Blank</v>
      </c>
    </row>
    <row r="72" spans="1:21" ht="15" customHeight="1">
      <c r="A72" s="390" t="str">
        <f>IF('BP1'!K2="Federal",IF('BP1'!L2="Off Campus","26.00%",IF('BP1'!L2="DoD Contract","59.00%",IF('BP1'!L2="No F&amp;A","",IF('BP1'!L2="Custom","","58.00%")))),IF('BP1'!L2="Off Campus","32.80%",IF('BP1'!L2="No F&amp;A","",IF('BP1'!L2="Custom","","68.90%"))))</f>
        <v>58.00%</v>
      </c>
      <c r="B72" s="879" t="str">
        <f>IF('BP1'!K3="MTDC",IF('BP1'!K2="Federal",IF('BP1'!L2="Off Campus","- MTDC 9/1/17-8/31/18 - Predetermined (Off Campus)",IF('BP1'!L2="DoD Contract","- MTDC 9/1/17-8/31/18 - Predetermined (DoD Contract)",IF('BP1'!L2="No F&amp;A","",IF('BP1'!L2="Custom","","- MTDC 9/1/17-8/31/18 - Predetermined")))),IF('BP1'!L2="Off Campus","- MTDC 9/1/17-8/31/18 - Predetermined (Off Campus)",IF('BP1'!L2="No F&amp;A","",IF('BP1'!L2="Custom","","- MTDC 9/1/17-8/31/18 - Predetermined")))),IF('BP1'!K2="Federal",IF('BP1'!L2="Off Campus","- TDC 9/1/17-8/31/18 - Predetermined (Off Campus)",IF('BP1'!L2="DoD Contract","- TDC 9/1/17-8/31/18 - Predetermined (DoD Contract)",IF('BP1'!L2="No F&amp;A","",IF('BP1'!L2="Custom","","- TDC 9/1/17-8/31/18 - Predetermined")))),IF('BP1'!L2="Off Campus","- TDC 9/1/17-8/31/18 - Predetermined (Off Campus)",IF('BP1'!L2="No F&amp;A","",IF('BP1'!L2="Custom","","- TDC 9/1/17-8/31/18 - Predetermined")))))</f>
        <v>- MTDC 9/1/17-8/31/18 - Predetermined</v>
      </c>
      <c r="C72" s="879"/>
      <c r="D72" s="879"/>
      <c r="E72" s="879"/>
      <c r="F72" s="879"/>
      <c r="G72" s="879"/>
      <c r="H72" s="879"/>
      <c r="I72" s="227"/>
      <c r="J72" s="227"/>
      <c r="K72" s="227"/>
      <c r="L72" s="227"/>
      <c r="M72" s="227"/>
      <c r="N72" s="227"/>
      <c r="O72" s="227"/>
      <c r="P72" s="227"/>
      <c r="Q72" s="227"/>
      <c r="R72" s="227"/>
      <c r="S72" s="210"/>
      <c r="T72" s="210"/>
      <c r="U72" s="561" t="str">
        <f ca="1">IF(AND(A72&lt;&gt;"",'Cumulative Budget'!K8&lt;=DATE(2018,8,31),'Cumulative Budget'!K10&gt;=DATE(2017,9,1)),"Populate","Blank")</f>
        <v>Blank</v>
      </c>
    </row>
    <row r="73" spans="1:21" ht="15" customHeight="1">
      <c r="A73" s="390" t="str">
        <f>IF('BP1'!K2="Federal",IF('BP1'!L2="Off Campus","26.00%",IF('BP1'!L2="DoD Contract","59.00%",IF('BP1'!L2="No F&amp;A","",IF('BP1'!L2="Custom","","58.00%")))),IF('BP1'!L2="Off Campus","32.80%",IF('BP1'!L2="No F&amp;A","",IF('BP1'!L2="Custom","","68.90%"))))</f>
        <v>58.00%</v>
      </c>
      <c r="B73" s="879" t="str">
        <f>IF('BP1'!K3="MTDC",IF('BP1'!K2="Federal",IF('BP1'!L2="Off Campus","- MTDC 9/1/18-8/31/19 - Predetermined (Off Campus)",IF('BP1'!L2="DoD Contract","- MTDC 9/1/18-8/31/19 - Predetermined (DoD Contract)",IF('BP1'!L2="No F&amp;A","",IF('BP1'!L2="Custom","","- MTDC 9/1/18-8/31/19 - Predetermined")))),IF('BP1'!L2="Off Campus","- MTDC 9/1/18-8/31/19 - Predetermined (Off Campus)",IF('BP1'!L2="No F&amp;A","",IF('BP1'!L2="Custom","","- MTDC 9/1/18-8/31/19 - Predetermined")))),IF('BP1'!K2="Federal",IF('BP1'!L2="Off Campus","- TDC 9/1/18-8/31/19 - Predetermined (Off Campus)",IF('BP1'!L2="DoD Contract","- TDC 9/1/18-8/31/19 - Predetermined (DoD Contract)",IF('BP1'!L2="No F&amp;A","",IF('BP1'!L2="Custom","","- TDC 9/1/18-8/31/19 - Predetermined")))),IF('BP1'!L2="Off Campus","- TDC 9/1/18-8/31/19 - Predetermined (Off Campus)",IF('BP1'!L2="No F&amp;A","",IF('BP1'!L2="Custom","","- TDC 9/1/18-8/31/19 - Predetermined")))))</f>
        <v>- MTDC 9/1/18-8/31/19 - Predetermined</v>
      </c>
      <c r="C73" s="879"/>
      <c r="D73" s="879"/>
      <c r="E73" s="879"/>
      <c r="F73" s="879"/>
      <c r="G73" s="879"/>
      <c r="H73" s="879"/>
      <c r="I73" s="227"/>
      <c r="J73" s="227"/>
      <c r="K73" s="227"/>
      <c r="L73" s="227"/>
      <c r="M73" s="227"/>
      <c r="N73" s="227"/>
      <c r="O73" s="227"/>
      <c r="P73" s="227"/>
      <c r="Q73" s="227"/>
      <c r="R73" s="227"/>
      <c r="S73" s="210"/>
      <c r="T73" s="210"/>
      <c r="U73" s="561" t="str">
        <f ca="1">IF(AND(A73&lt;&gt;"",'Cumulative Budget'!K8&lt;=DATE(2019,8,31),'Cumulative Budget'!K10&gt;=DATE(2018,9,1)),"Populate","Blank")</f>
        <v>Blank</v>
      </c>
    </row>
    <row r="74" spans="1:21" ht="15" customHeight="1">
      <c r="A74" s="390" t="str">
        <f>IF('BP1'!K2="Federal",IF('BP1'!L2="Off Campus","26.00%",IF('BP1'!L2="DoD Contract","59.00%",IF('BP1'!L2="No F&amp;A","",IF('BP1'!L2="Custom","","58.00%")))),IF('BP1'!L2="Off Campus","34.62%",IF('BP1'!L2="No F&amp;A","",IF('BP1'!L2="Custom","","69.64%"))))</f>
        <v>58.00%</v>
      </c>
      <c r="B74" s="879" t="str">
        <f>IF('BP1'!K3="MTDC",IF('BP1'!K2="Federal",IF('BP1'!L2="Off Campus","- MTDC 9/1/19-8/31/20 - Predetermined (Off Campus)",IF('BP1'!L2="DoD Contract","- MTDC 9/1/19-8/31/20 - Predetermined (DoD Contract)",IF('BP1'!L2="No F&amp;A","",IF('BP1'!L2="Custom","","- MTDC 9/1/19-8/31/20 - Predetermined")))),IF('BP1'!L2="Off Campus","- MTDC 9/1/19-8/31/20 - Predetermined (Off Campus)",IF('BP1'!L2="No F&amp;A","",IF('BP1'!L2="Custom","","- MTDC 9/1/19-8/31/20 - Predetermined")))),IF('BP1'!K2="Federal",IF('BP1'!L2="Off Campus","- TDC 9/1/19-8/31/20 - Predetermined (Off Campus)",IF('BP1'!L2="DoD Contract","- TDC 9/1/19-8/31/20 - Predetermined (DoD Contract)",IF('BP1'!L2="No F&amp;A","",IF('BP1'!L2="Custom","","- TDC 9/1/19-8/31/20 - Predetermined")))),IF('BP1'!L2="Off Campus","- TDC 9/1/19-8/31/20 - Predetermined (Off Campus)",IF('BP1'!L2="No F&amp;A","",IF('BP1'!L2="Custom","","- TDC 9/1/19-8/31/20 - Predetermined")))))</f>
        <v>- MTDC 9/1/19-8/31/20 - Predetermined</v>
      </c>
      <c r="C74" s="879"/>
      <c r="D74" s="879"/>
      <c r="E74" s="879"/>
      <c r="F74" s="879"/>
      <c r="G74" s="879"/>
      <c r="H74" s="879"/>
      <c r="I74" s="227"/>
      <c r="J74" s="227"/>
      <c r="K74" s="227"/>
      <c r="L74" s="227"/>
      <c r="M74" s="227"/>
      <c r="N74" s="227"/>
      <c r="O74" s="227"/>
      <c r="P74" s="227"/>
      <c r="Q74" s="227"/>
      <c r="R74" s="227"/>
      <c r="S74" s="210"/>
      <c r="T74" s="210"/>
      <c r="U74" s="561" t="str">
        <f ca="1">IF(AND(A74&lt;&gt;"",'Cumulative Budget'!K8&lt;=DATE(2020,8,31),'Cumulative Budget'!K10&gt;=DATE(2019,9,1)),"Populate","Blank")</f>
        <v>Blank</v>
      </c>
    </row>
    <row r="75" spans="1:21" ht="15" customHeight="1">
      <c r="A75" s="390" t="str">
        <f>IF('BP1'!K2="Federal",IF('BP1'!L2="Off Campus","26.00%",IF('BP1'!L2="DoD Contract","59.00%",IF('BP1'!L2="No F&amp;A","",IF('BP1'!L2="Custom","","58.00%")))),IF('BP1'!L2="Off Campus","34.62%",IF('BP1'!L2="No F&amp;A","",IF('BP1'!L2="Custom","","69.64%"))))</f>
        <v>58.00%</v>
      </c>
      <c r="B75" s="879" t="str">
        <f>IF('BP1'!K3="MTDC",IF('BP1'!K2="Federal",IF('BP1'!L2="Off Campus","- MTDC 9/1/20-8/31/21 - Predetermined (Off Campus)",IF('BP1'!L2="DoD Contract","- MTDC 9/1/20-8/31/21 - Predetermined (DoD Contract)",IF('BP1'!L2="No F&amp;A","",IF('BP1'!L2="Custom","","- MTDC 9/1/20-8/31/21 - Predetermined")))),IF('BP1'!L2="Off Campus","- MTDC 9/1/20-8/31/21 - Predetermined (Off Campus)",IF('BP1'!L2="No F&amp;A","",IF('BP1'!L2="Custom","","- MTDC 9/1/20-8/31/21 - Predetermined")))),IF('BP1'!K2="Federal",IF('BP1'!L2="Off Campus","- TDC 9/1/20-8/31/21 - Predetermined (Off Campus)",IF('BP1'!L2="DoD Contract","- TDC 9/1/20-8/31/21 - Predetermined (DoD Contract)",IF('BP1'!L2="No F&amp;A","",IF('BP1'!L2="Custom","","- TDC 9/1/20-8/31/21 - Predetermined")))),IF('BP1'!L2="Off Campus","- TDC 9/1/20-8/31/21 - Predetermined (Off Campus)",IF('BP1'!L2="No F&amp;A","",IF('BP1'!L2="Custom","","- TDC 9/1/20-8/31/21 - Predetermined")))))</f>
        <v>- MTDC 9/1/20-8/31/21 - Predetermined</v>
      </c>
      <c r="C75" s="879"/>
      <c r="D75" s="879"/>
      <c r="E75" s="879"/>
      <c r="F75" s="879"/>
      <c r="G75" s="879"/>
      <c r="H75" s="879"/>
      <c r="I75" s="227"/>
      <c r="J75" s="227"/>
      <c r="K75" s="227"/>
      <c r="L75" s="227"/>
      <c r="M75" s="227"/>
      <c r="N75" s="227"/>
      <c r="O75" s="227"/>
      <c r="P75" s="227"/>
      <c r="Q75" s="227"/>
      <c r="R75" s="227"/>
      <c r="S75" s="210"/>
      <c r="T75" s="210"/>
      <c r="U75" s="561" t="str">
        <f ca="1">IF(AND(A75&lt;&gt;"",'Cumulative Budget'!K8&lt;=DATE(2021,8,31),'Cumulative Budget'!K10&gt;=DATE(2020,9,1)),"Populate","Blank")</f>
        <v>Blank</v>
      </c>
    </row>
    <row r="76" spans="1:21" ht="15" customHeight="1">
      <c r="A76" s="390" t="str">
        <f>IF('BP1'!K2="Federal",IF('BP1'!L2="Off Campus","26.00%",IF('BP1'!L2="DoD Contract","61.00%",IF('BP1'!L2="No F&amp;A","",IF('BP1'!L2="Custom","","60.00%")))),IF('BP1'!L2="Off Campus","34.62%",IF('BP1'!L2="No F&amp;A","",IF('BP1'!L2="Custom","","69.64%"))))</f>
        <v>60.00%</v>
      </c>
      <c r="B76" s="879" t="str">
        <f>IF('BP1'!K3="MTDC",IF('BP1'!K2="Federal",IF('BP1'!L2="Off Campus","- MTDC 9/1/21-8/31/23 - Predetermined (Off Campus)",IF('BP1'!L2="DoD Contract","- MTDC 9/1/21-8/31/23 - Predetermined (DoD Contract)",IF('BP1'!L2="No F&amp;A","",IF('BP1'!L2="Custom","","- MTDC 9/1/21-8/31/23 - Predetermined")))),IF('BP1'!L2="Off Campus","- MTDC 9/1/21-8/31/23 - Predetermined (Off Campus)",IF('BP1'!L2="No F&amp;A","",IF('BP1'!L2="Custom","","- MTDC 9/1/21-8/31/23 - Predetermined")))),IF('BP1'!K2="Federal",IF('BP1'!L2="Off Campus","- TDC 9/1/21-8/31/23 - Predetermined (Off Campus)",IF('BP1'!L2="DoD Contract","- TDC 9/1/21-8/31/23 - Predetermined (DoD Contract)",IF('BP1'!L2="No F&amp;A","",IF('BP1'!L2="Custom","","- TDC 9/1/21-8/31/23 - Predetermined")))),IF('BP1'!L2="Off Campus","- TDC 9/1/21-8/31/23 - Predetermined (Off Campus)",IF('BP1'!L2="No F&amp;A","",IF('BP1'!L2="Custom","","- TDC 9/1/21-8/31/23 - Predetermined")))))</f>
        <v>- MTDC 9/1/21-8/31/23 - Predetermined</v>
      </c>
      <c r="C76" s="879"/>
      <c r="D76" s="879"/>
      <c r="E76" s="879"/>
      <c r="F76" s="879"/>
      <c r="G76" s="879"/>
      <c r="H76" s="879"/>
      <c r="I76" s="227"/>
      <c r="J76" s="227"/>
      <c r="K76" s="227"/>
      <c r="L76" s="227"/>
      <c r="M76" s="227"/>
      <c r="N76" s="227"/>
      <c r="O76" s="227"/>
      <c r="P76" s="227"/>
      <c r="Q76" s="227"/>
      <c r="R76" s="227"/>
      <c r="S76" s="210"/>
      <c r="T76" s="210"/>
      <c r="U76" s="561" t="str">
        <f ca="1">IF(AND(A76&lt;&gt;"",'Cumulative Budget'!K8&lt;=DATE(2023,8,31),'Cumulative Budget'!K10&gt;=DATE(2021,9,1)),"Populate","Blank")</f>
        <v>Populate</v>
      </c>
    </row>
    <row r="77" spans="1:21" ht="15" customHeight="1">
      <c r="A77" s="390" t="str">
        <f>IF('BP1'!K2="Federal",IF('BP1'!L2="Off Campus","26.00%",IF('BP1'!L2="DoD Contract","61.00%",IF('BP1'!L2="No F&amp;A","",IF('BP1'!L2="Custom","","60.00%")))),IF('BP1'!L2="Off Campus","34.62%",IF('BP1'!L2="No F&amp;A","",IF('BP1'!L2="Custom","","69.64%"))))</f>
        <v>60.00%</v>
      </c>
      <c r="B77" s="879" t="str">
        <f>IF('BP1'!K3="MTDC",IF('BP1'!K2="Federal",IF('BP1'!L2="Off Campus","- MTDC 9/1/23-8/31/24 and thereafter - Provisional (Off Campus)",IF('BP1'!L2="DoD Contract","- MTDC 9/1/23-8/31/24 and thereafter - Provisional (DoD Contract)",IF('BP1'!L2="No F&amp;A","",IF('BP1'!L2="Custom","","- MTDC 9/1/23-8/31/24 and thereafter - Provisional")))),IF('BP1'!L2="Off Campus","- MTDC 9/1/23-8/31/24 and thereafter - Provisional (Off Campus)",IF('BP1'!L2="No F&amp;A","",IF('BP1'!L2="Custom","","- MTDC 9/1/23-8/31/24 and thereafter - Provisional")))),IF('BP1'!K2="Federal",IF('BP1'!L2="Off Campus","- TDC 9/1/23-8/31/24 and thereafter - Provisional (Off Campus)",IF('BP1'!L2="DoD Contract","- TDC 9/1/23-8/31/24 and thereafter - Provisional (DoD Contract)",IF('BP1'!L2="No F&amp;A","",IF('BP1'!L2="Custom","","- TDC 9/1/23-8/31/24 and thereafter - Provisional")))),IF('BP1'!L2="Off Campus","- TDC 9/1/23-8/31/24 and thereafter - Provisional (Off Campus)",IF('BP1'!L2="No F&amp;A","",IF('BP1'!L2="Custom","","- TDC 9/1/23-8/31/24 and thereafter - Provisional")))))</f>
        <v>- MTDC 9/1/23-8/31/24 and thereafter - Provisional</v>
      </c>
      <c r="C77" s="879"/>
      <c r="D77" s="879"/>
      <c r="E77" s="879"/>
      <c r="F77" s="879"/>
      <c r="G77" s="879"/>
      <c r="H77" s="879"/>
      <c r="I77" s="227"/>
      <c r="J77" s="227"/>
      <c r="K77" s="227"/>
      <c r="L77" s="227"/>
      <c r="M77" s="227"/>
      <c r="N77" s="227"/>
      <c r="O77" s="227"/>
      <c r="P77" s="227"/>
      <c r="Q77" s="227"/>
      <c r="R77" s="227"/>
      <c r="S77" s="210"/>
      <c r="T77" s="210"/>
      <c r="U77" s="561" t="str">
        <f ca="1">IF(AND(A77&lt;&gt;"",'Cumulative Budget'!K10&gt;=DATE(2023,9,1)),"Populate","Blank")</f>
        <v>Blank</v>
      </c>
    </row>
    <row r="78" spans="1:21" ht="15" customHeight="1">
      <c r="A78" s="880" t="str">
        <f>IF(OR('BP1'!E9="National Science Foundation",'BP1'!E9="NSF",'BP1'!E11="National Science Foundation",'BP1'!E11="NSF"),"Total F&amp;A budgeted is "&amp;TEXT('Summary of All Budget Periods'!G93,"$#,##0")&amp;".","")</f>
        <v/>
      </c>
      <c r="B78" s="880"/>
      <c r="C78" s="880"/>
      <c r="D78" s="880"/>
      <c r="E78" s="880"/>
      <c r="F78" s="880"/>
      <c r="G78" s="880"/>
      <c r="H78" s="880"/>
      <c r="I78" s="225"/>
      <c r="J78" s="225"/>
      <c r="K78" s="225"/>
      <c r="L78" s="225"/>
      <c r="M78" s="225"/>
      <c r="N78" s="225"/>
      <c r="O78" s="225"/>
      <c r="P78" s="225"/>
      <c r="Q78" s="225"/>
      <c r="R78" s="225"/>
      <c r="S78" s="210"/>
      <c r="T78" s="210"/>
      <c r="U78" s="561" t="str">
        <f>IF(A78="","Blank","Populate")</f>
        <v>Blank</v>
      </c>
    </row>
    <row r="79" spans="1:21" ht="14.25">
      <c r="A79" s="879" t="str">
        <f>IF(AND(OR('BP1'!E9="National Science Foundation",'BP1'!E9="NSF",'BP1'!E11="National Science Foundation",'BP1'!E11="NSF"),'BP1'!K5&gt;0),"   Period 1 F&amp;A budgeted is "&amp;TEXT('Summary of All Budget Periods'!B93,"$#,##0")&amp;".","")</f>
        <v/>
      </c>
      <c r="B79" s="879"/>
      <c r="C79" s="879"/>
      <c r="D79" s="879"/>
      <c r="E79" s="879"/>
      <c r="F79" s="879"/>
      <c r="G79" s="879"/>
      <c r="H79" s="879"/>
      <c r="U79" s="561" t="str">
        <f>IF(AND(OR('BP1'!E9="National Science Foundation",'BP1'!E9="NSF",'BP1'!E11="National Science Foundation",'BP1'!E11="NSF"),'BP1'!K5&gt;0),"Populate","Blank")</f>
        <v>Blank</v>
      </c>
    </row>
    <row r="80" spans="1:21" ht="14.25">
      <c r="A80" s="879" t="str">
        <f>IF(AND(OR('BP1'!E9="National Science Foundation",'BP1'!E9="NSF",'BP1'!E11="National Science Foundation",'BP1'!E11="NSF"),'BP1'!K5&gt;1),"   Period 2 F&amp;A budgeted is "&amp;TEXT('Summary of All Budget Periods'!C93,"$#,##0")&amp;".","")</f>
        <v/>
      </c>
      <c r="B80" s="879"/>
      <c r="C80" s="879"/>
      <c r="D80" s="879"/>
      <c r="E80" s="879"/>
      <c r="F80" s="879"/>
      <c r="G80" s="879"/>
      <c r="H80" s="879"/>
      <c r="U80" s="561" t="str">
        <f>IF(AND(OR('BP1'!E9="National Science Foundation",'BP1'!E9="NSF",'BP1'!E11="National Science Foundation",'BP1'!E11="NSF"),'BP1'!K5&gt;1),"Populate","Blank")</f>
        <v>Blank</v>
      </c>
    </row>
    <row r="81" spans="1:21" ht="14.25">
      <c r="A81" s="879" t="str">
        <f>IF(AND(OR('BP1'!E9="National Science Foundation",'BP1'!E9="NSF",'BP1'!E11="National Science Foundation",'BP1'!E11="NSF"),'BP1'!K5&gt;2),"   Period 3 F&amp;A budgeted is "&amp;TEXT('Summary of All Budget Periods'!D93,"$#,##0")&amp;".","")</f>
        <v/>
      </c>
      <c r="B81" s="879"/>
      <c r="C81" s="879"/>
      <c r="D81" s="879"/>
      <c r="E81" s="879"/>
      <c r="F81" s="879"/>
      <c r="G81" s="879"/>
      <c r="H81" s="879"/>
      <c r="U81" s="561" t="str">
        <f>IF(AND(OR('BP1'!E9="National Science Foundation",'BP1'!E9="NSF",'BP1'!E11="National Science Foundation",'BP1'!E11="NSF"),'BP1'!K5&gt;2),"Populate","Blank")</f>
        <v>Blank</v>
      </c>
    </row>
    <row r="82" spans="1:21" ht="14.25">
      <c r="A82" s="879" t="str">
        <f>IF(AND(OR('BP1'!E9="National Science Foundation",'BP1'!E9="NSF",'BP1'!E11="National Science Foundation",'BP1'!E11="NSF"),'BP1'!K5&gt;3),"   Period 4 F&amp;A budgeted is "&amp;TEXT('Summary of All Budget Periods'!E93,"$#,##0")&amp;".","")</f>
        <v/>
      </c>
      <c r="B82" s="879"/>
      <c r="C82" s="879"/>
      <c r="D82" s="879"/>
      <c r="E82" s="879"/>
      <c r="F82" s="879"/>
      <c r="G82" s="879"/>
      <c r="H82" s="879"/>
      <c r="U82" s="561" t="str">
        <f>IF(AND(OR('BP1'!E9="National Science Foundation",'BP1'!E9="NSF",'BP1'!E11="National Science Foundation",'BP1'!E11="NSF"),'BP1'!K5&gt;3),"Populate","Blank")</f>
        <v>Blank</v>
      </c>
    </row>
    <row r="83" spans="1:21" ht="14.25">
      <c r="A83" s="879" t="str">
        <f>IF(AND(OR('BP1'!E9="National Science Foundation",'BP1'!E9="NSF",'BP1'!E11="National Science Foundation",'BP1'!E11="NSF"),'BP1'!K5&gt;4),"   Period 5 F&amp;A budgeted is "&amp;TEXT('Summary of All Budget Periods'!F93,"$#,##0")&amp;".","")</f>
        <v/>
      </c>
      <c r="B83" s="879"/>
      <c r="C83" s="879"/>
      <c r="D83" s="879"/>
      <c r="E83" s="879"/>
      <c r="F83" s="879"/>
      <c r="G83" s="879"/>
      <c r="H83" s="879"/>
      <c r="U83" s="561" t="str">
        <f>IF(AND(OR('BP1'!E9="National Science Foundation",'BP1'!E9="NSF",'BP1'!E11="National Science Foundation",'BP1'!E11="NSF"),'BP1'!K5&gt;4),"Populate","Blank")</f>
        <v>Blank</v>
      </c>
    </row>
    <row r="84" spans="1:21">
      <c r="U84" s="560"/>
    </row>
    <row r="85" spans="1:21">
      <c r="U85" s="560"/>
    </row>
    <row r="86" spans="1:21">
      <c r="U86" s="560"/>
    </row>
    <row r="87" spans="1:21">
      <c r="U87" s="560"/>
    </row>
    <row r="88" spans="1:21">
      <c r="U88" s="560"/>
    </row>
    <row r="89" spans="1:21">
      <c r="U89" s="560"/>
    </row>
    <row r="90" spans="1:21">
      <c r="U90" s="560"/>
    </row>
    <row r="91" spans="1:21">
      <c r="U91" s="560"/>
    </row>
    <row r="92" spans="1:21">
      <c r="U92" s="560"/>
    </row>
    <row r="93" spans="1:21">
      <c r="U93" s="560"/>
    </row>
    <row r="94" spans="1:21">
      <c r="U94" s="560"/>
    </row>
  </sheetData>
  <autoFilter ref="U1:U83" xr:uid="{00000000-0009-0000-0000-000008000000}"/>
  <mergeCells count="89">
    <mergeCell ref="A59:H59"/>
    <mergeCell ref="A61:H61"/>
    <mergeCell ref="A63:H63"/>
    <mergeCell ref="A41:B41"/>
    <mergeCell ref="A34:H34"/>
    <mergeCell ref="A35:H35"/>
    <mergeCell ref="A38:B38"/>
    <mergeCell ref="A39:B39"/>
    <mergeCell ref="A36:B36"/>
    <mergeCell ref="C36:D36"/>
    <mergeCell ref="A40:B40"/>
    <mergeCell ref="A37:B37"/>
    <mergeCell ref="A46:H46"/>
    <mergeCell ref="G36:H36"/>
    <mergeCell ref="E36:F36"/>
    <mergeCell ref="A50:H50"/>
    <mergeCell ref="A49:H49"/>
    <mergeCell ref="A48:H48"/>
    <mergeCell ref="B72:H72"/>
    <mergeCell ref="B71:H71"/>
    <mergeCell ref="A56:H56"/>
    <mergeCell ref="A58:H58"/>
    <mergeCell ref="A60:H60"/>
    <mergeCell ref="A67:H67"/>
    <mergeCell ref="A68:H68"/>
    <mergeCell ref="A69:H69"/>
    <mergeCell ref="B70:H70"/>
    <mergeCell ref="A66:H66"/>
    <mergeCell ref="A65:H65"/>
    <mergeCell ref="A64:H64"/>
    <mergeCell ref="A57:H57"/>
    <mergeCell ref="A62:H62"/>
    <mergeCell ref="A52:H52"/>
    <mergeCell ref="A53:H53"/>
    <mergeCell ref="A55:H55"/>
    <mergeCell ref="A51:H51"/>
    <mergeCell ref="A54:H54"/>
    <mergeCell ref="A18:H18"/>
    <mergeCell ref="A25:H25"/>
    <mergeCell ref="A47:H47"/>
    <mergeCell ref="A32:H32"/>
    <mergeCell ref="A33:H33"/>
    <mergeCell ref="A27:H27"/>
    <mergeCell ref="A28:H28"/>
    <mergeCell ref="A29:H29"/>
    <mergeCell ref="A30:H30"/>
    <mergeCell ref="A31:H31"/>
    <mergeCell ref="A44:B44"/>
    <mergeCell ref="A19:H19"/>
    <mergeCell ref="A42:B42"/>
    <mergeCell ref="A43:B43"/>
    <mergeCell ref="A45:B45"/>
    <mergeCell ref="W1:AB1"/>
    <mergeCell ref="W2:AB4"/>
    <mergeCell ref="A7:H7"/>
    <mergeCell ref="A1:H1"/>
    <mergeCell ref="A2:H2"/>
    <mergeCell ref="A3:H3"/>
    <mergeCell ref="A4:H4"/>
    <mergeCell ref="A6:H6"/>
    <mergeCell ref="S1:T1"/>
    <mergeCell ref="A5:H5"/>
    <mergeCell ref="A8:H8"/>
    <mergeCell ref="A9:H9"/>
    <mergeCell ref="A10:H10"/>
    <mergeCell ref="A11:H11"/>
    <mergeCell ref="A26:H26"/>
    <mergeCell ref="A12:H12"/>
    <mergeCell ref="A13:H13"/>
    <mergeCell ref="A14:H14"/>
    <mergeCell ref="A15:H15"/>
    <mergeCell ref="A16:H16"/>
    <mergeCell ref="A20:H20"/>
    <mergeCell ref="A21:H21"/>
    <mergeCell ref="A22:H22"/>
    <mergeCell ref="A23:H23"/>
    <mergeCell ref="A24:H24"/>
    <mergeCell ref="A17:H17"/>
    <mergeCell ref="B73:H73"/>
    <mergeCell ref="A79:H79"/>
    <mergeCell ref="A80:H80"/>
    <mergeCell ref="B74:H74"/>
    <mergeCell ref="B77:H77"/>
    <mergeCell ref="A78:H78"/>
    <mergeCell ref="A81:H81"/>
    <mergeCell ref="A82:H82"/>
    <mergeCell ref="A83:H83"/>
    <mergeCell ref="B75:H75"/>
    <mergeCell ref="B76:H76"/>
  </mergeCells>
  <printOptions horizontalCentered="1"/>
  <pageMargins left="1" right="1" top="1" bottom="1" header="0.5" footer="0.5"/>
  <pageSetup scale="95" fitToHeight="0" orientation="portrait" r:id="rId1"/>
  <headerFooter>
    <oddFooter>&amp;C&amp;P</oddFooter>
  </headerFooter>
  <ignoredErrors>
    <ignoredError sqref="U22 U49 U52 U55:U59 U60:U62 U63:U64 U65:U66 U67 U33 E39 G39:G40 E42" formula="1"/>
  </ignoredError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5" tint="0.59999389629810485"/>
    <pageSetUpPr fitToPage="1"/>
  </sheetPr>
  <dimension ref="A1:AG50"/>
  <sheetViews>
    <sheetView zoomScaleNormal="100" workbookViewId="0">
      <selection activeCell="B8" sqref="B8"/>
    </sheetView>
  </sheetViews>
  <sheetFormatPr defaultColWidth="9.140625" defaultRowHeight="12.75"/>
  <cols>
    <col min="1" max="1" width="14.28515625" style="7" customWidth="1"/>
    <col min="2" max="2" width="28.5703125" style="7" customWidth="1"/>
    <col min="3" max="3" width="1.28515625" style="7" customWidth="1"/>
    <col min="4" max="4" width="10.7109375" style="7" customWidth="1"/>
    <col min="5" max="8" width="5" style="7" customWidth="1"/>
    <col min="9" max="9" width="1" style="7" customWidth="1"/>
    <col min="10" max="13" width="5" style="7" customWidth="1"/>
    <col min="14" max="14" width="1" style="7" customWidth="1"/>
    <col min="15" max="18" width="5" style="7" customWidth="1"/>
    <col min="19" max="19" width="1" style="7" customWidth="1"/>
    <col min="20" max="23" width="5" style="7" customWidth="1"/>
    <col min="24" max="24" width="1" style="7" customWidth="1"/>
    <col min="25" max="28" width="5" style="7" customWidth="1"/>
    <col min="29" max="29" width="1" style="7" customWidth="1"/>
    <col min="30" max="33" width="5" style="7" customWidth="1"/>
    <col min="34" max="16384" width="9.140625" style="7"/>
  </cols>
  <sheetData>
    <row r="1" spans="1:33" ht="14.25" customHeight="1" thickBot="1">
      <c r="A1" s="928" t="s">
        <v>295</v>
      </c>
      <c r="B1" s="929"/>
      <c r="C1" s="929"/>
      <c r="D1" s="929"/>
      <c r="E1" s="929"/>
      <c r="F1" s="929"/>
      <c r="G1" s="929"/>
      <c r="H1" s="929"/>
      <c r="I1" s="929"/>
      <c r="J1" s="929"/>
      <c r="K1" s="929"/>
      <c r="L1" s="929"/>
      <c r="M1" s="929"/>
      <c r="N1" s="929"/>
      <c r="O1" s="929"/>
      <c r="P1" s="929"/>
      <c r="Q1" s="929"/>
      <c r="R1" s="929"/>
      <c r="S1" s="929"/>
      <c r="T1" s="929"/>
      <c r="U1" s="929"/>
      <c r="V1" s="929"/>
      <c r="W1" s="929"/>
      <c r="X1" s="929"/>
      <c r="Y1" s="929"/>
      <c r="Z1" s="929"/>
      <c r="AA1" s="929"/>
      <c r="AB1" s="929"/>
      <c r="AC1" s="929"/>
      <c r="AD1" s="929"/>
      <c r="AE1" s="929"/>
      <c r="AF1" s="929"/>
      <c r="AG1" s="930"/>
    </row>
    <row r="2" spans="1:33" ht="14.25" customHeight="1" thickTop="1" thickBot="1">
      <c r="A2" s="931" t="s">
        <v>583</v>
      </c>
      <c r="B2" s="932"/>
      <c r="C2" s="932"/>
      <c r="D2" s="932"/>
      <c r="E2" s="932"/>
      <c r="F2" s="932"/>
      <c r="G2" s="932"/>
      <c r="H2" s="932"/>
      <c r="I2" s="932"/>
      <c r="J2" s="932"/>
      <c r="K2" s="932"/>
      <c r="L2" s="932"/>
      <c r="M2" s="932"/>
      <c r="N2" s="932"/>
      <c r="O2" s="932"/>
      <c r="P2" s="932"/>
      <c r="Q2" s="932"/>
      <c r="R2" s="932"/>
      <c r="S2" s="932"/>
      <c r="T2" s="932"/>
      <c r="U2" s="932"/>
      <c r="V2" s="932"/>
      <c r="W2" s="932"/>
      <c r="X2" s="932"/>
      <c r="Y2" s="932"/>
      <c r="Z2" s="932"/>
      <c r="AA2" s="932"/>
      <c r="AB2" s="932"/>
      <c r="AC2" s="932"/>
      <c r="AD2" s="932"/>
      <c r="AE2" s="932"/>
      <c r="AF2" s="932"/>
      <c r="AG2" s="933"/>
    </row>
    <row r="3" spans="1:33" ht="3.75" customHeight="1"/>
    <row r="4" spans="1:33" ht="12" customHeight="1">
      <c r="E4" s="899" t="s">
        <v>424</v>
      </c>
      <c r="F4" s="899"/>
      <c r="G4" s="899"/>
      <c r="H4" s="899"/>
      <c r="J4" s="899" t="str">
        <f>IF('BP1'!$K$5&gt;1,"Budget Period 2","")</f>
        <v/>
      </c>
      <c r="K4" s="899"/>
      <c r="L4" s="899"/>
      <c r="M4" s="899"/>
      <c r="O4" s="899" t="str">
        <f>IF('BP1'!$K$5&gt;2,"Budget Period 3","")</f>
        <v/>
      </c>
      <c r="P4" s="899"/>
      <c r="Q4" s="899"/>
      <c r="R4" s="899"/>
      <c r="T4" s="899" t="str">
        <f>IF('BP1'!$K$5&gt;3,"Budget Period 4","")</f>
        <v/>
      </c>
      <c r="U4" s="899"/>
      <c r="V4" s="899"/>
      <c r="W4" s="899"/>
      <c r="Y4" s="899" t="str">
        <f>IF('BP1'!$K$5&gt;4,"Budget Period 5","")</f>
        <v/>
      </c>
      <c r="Z4" s="899"/>
      <c r="AA4" s="899"/>
      <c r="AB4" s="899"/>
      <c r="AD4" s="899" t="s">
        <v>587</v>
      </c>
      <c r="AE4" s="899"/>
      <c r="AF4" s="899"/>
      <c r="AG4" s="899"/>
    </row>
    <row r="5" spans="1:33" ht="12" customHeight="1" thickBot="1">
      <c r="E5" s="924" t="str">
        <f>IF('BP1'!$K$5&gt;0,CONCATENATE(TEXT('BP1'!$K$8,"m/d/yy")," - ",TEXT('BP1'!$K$10,"m/d/yy")),"")</f>
        <v>9/1/22 - 8/31/23</v>
      </c>
      <c r="F5" s="924"/>
      <c r="G5" s="924"/>
      <c r="H5" s="924"/>
      <c r="J5" s="924" t="str">
        <f>IF('BP1'!$K$5&gt;1,CONCATENATE(TEXT('BP2'!$K$8,"m/d/yy")," - ",TEXT('BP2'!$K$10,"m/d/yy")),"")</f>
        <v/>
      </c>
      <c r="K5" s="924"/>
      <c r="L5" s="924"/>
      <c r="M5" s="924"/>
      <c r="O5" s="924" t="str">
        <f>IF('BP1'!$K$5&gt;2,CONCATENATE(TEXT('BP3'!$K$8,"m/d/yy")," - ",TEXT('BP3'!$K$10,"m/d/yy")),"")</f>
        <v/>
      </c>
      <c r="P5" s="924"/>
      <c r="Q5" s="924"/>
      <c r="R5" s="924"/>
      <c r="T5" s="924" t="str">
        <f>IF('BP1'!$K$5&gt;3,CONCATENATE(TEXT('BP4'!$K$8,"m/d/yy")," - ",TEXT('BP4'!$K$10,"m/d/yy")),"")</f>
        <v/>
      </c>
      <c r="U5" s="924"/>
      <c r="V5" s="924"/>
      <c r="W5" s="924"/>
      <c r="Y5" s="924" t="str">
        <f>IF('BP1'!$K$5&gt;4,CONCATENATE(TEXT('BP5'!$K$8,"m/d/yy")," - ",TEXT('BP5'!$K$10,"m/d/yy")),"")</f>
        <v/>
      </c>
      <c r="Z5" s="924"/>
      <c r="AA5" s="924"/>
      <c r="AB5" s="924"/>
      <c r="AD5" s="899" t="str">
        <f ca="1">CONCATENATE(TEXT('BP1'!K8,"m/d/yy")," - ",TEXT(INDIRECT("BP"&amp;'BP1'!K5&amp;"!K10"),"m/d/yy"))</f>
        <v>9/1/22 - 8/31/23</v>
      </c>
      <c r="AE5" s="899"/>
      <c r="AF5" s="899"/>
      <c r="AG5" s="899"/>
    </row>
    <row r="6" spans="1:33" ht="12" customHeight="1" thickBot="1">
      <c r="A6" s="485"/>
      <c r="B6" s="495"/>
      <c r="E6" s="914" t="s">
        <v>201</v>
      </c>
      <c r="F6" s="915"/>
      <c r="G6" s="900" t="s">
        <v>510</v>
      </c>
      <c r="H6" s="901"/>
      <c r="J6" s="914" t="s">
        <v>201</v>
      </c>
      <c r="K6" s="915"/>
      <c r="L6" s="900" t="s">
        <v>510</v>
      </c>
      <c r="M6" s="901"/>
      <c r="O6" s="914" t="s">
        <v>201</v>
      </c>
      <c r="P6" s="915"/>
      <c r="Q6" s="900" t="s">
        <v>510</v>
      </c>
      <c r="R6" s="901"/>
      <c r="T6" s="914" t="s">
        <v>201</v>
      </c>
      <c r="U6" s="915"/>
      <c r="V6" s="900" t="s">
        <v>510</v>
      </c>
      <c r="W6" s="901"/>
      <c r="Y6" s="914" t="s">
        <v>201</v>
      </c>
      <c r="Z6" s="915"/>
      <c r="AA6" s="900" t="s">
        <v>510</v>
      </c>
      <c r="AB6" s="901"/>
      <c r="AD6" s="914" t="s">
        <v>201</v>
      </c>
      <c r="AE6" s="915"/>
      <c r="AF6" s="900" t="s">
        <v>510</v>
      </c>
      <c r="AG6" s="901"/>
    </row>
    <row r="7" spans="1:33" ht="12" customHeight="1">
      <c r="A7" s="934" t="s">
        <v>566</v>
      </c>
      <c r="B7" s="934"/>
      <c r="D7" s="494" t="s">
        <v>580</v>
      </c>
      <c r="E7" s="918">
        <v>0</v>
      </c>
      <c r="F7" s="919"/>
      <c r="G7" s="920">
        <v>0</v>
      </c>
      <c r="H7" s="921"/>
      <c r="J7" s="918">
        <v>0</v>
      </c>
      <c r="K7" s="919"/>
      <c r="L7" s="920">
        <v>0</v>
      </c>
      <c r="M7" s="921"/>
      <c r="O7" s="918">
        <v>0</v>
      </c>
      <c r="P7" s="919"/>
      <c r="Q7" s="920">
        <v>0</v>
      </c>
      <c r="R7" s="921"/>
      <c r="T7" s="918">
        <v>0</v>
      </c>
      <c r="U7" s="919"/>
      <c r="V7" s="920">
        <v>0</v>
      </c>
      <c r="W7" s="921"/>
      <c r="Y7" s="918">
        <v>0</v>
      </c>
      <c r="Z7" s="919"/>
      <c r="AA7" s="920">
        <v>0</v>
      </c>
      <c r="AB7" s="921"/>
      <c r="AD7" s="902">
        <f>IF('BP1'!$K$5&gt;4,E7+J7+O7+T7+Y7,IF('BP1'!$K$5&gt;3,E7+J7+O7+T7,IF('BP1'!$K$5&gt;2,E7+J7+O7,IF('BP1'!$K$5&gt;1,E7+J7,E7))))</f>
        <v>0</v>
      </c>
      <c r="AE7" s="903"/>
      <c r="AF7" s="908">
        <f>IF('BP1'!$K$5&gt;4,G7+L7+Q7+V7+AA7,IF('BP1'!$K$5&gt;3,G7+L7+Q7+V7,IF('BP1'!$K$5&gt;2,G7+L7+Q7,IF('BP1'!$K$5&gt;1,G7+L7,G7))))</f>
        <v>0</v>
      </c>
      <c r="AG7" s="909"/>
    </row>
    <row r="8" spans="1:33" ht="12" customHeight="1">
      <c r="A8" s="483" t="s">
        <v>578</v>
      </c>
      <c r="B8" s="484"/>
      <c r="D8" s="494" t="s">
        <v>581</v>
      </c>
      <c r="E8" s="918">
        <v>0</v>
      </c>
      <c r="F8" s="919"/>
      <c r="G8" s="920">
        <v>0</v>
      </c>
      <c r="H8" s="921"/>
      <c r="J8" s="918">
        <v>0</v>
      </c>
      <c r="K8" s="919"/>
      <c r="L8" s="920">
        <v>0</v>
      </c>
      <c r="M8" s="921"/>
      <c r="O8" s="918">
        <v>0</v>
      </c>
      <c r="P8" s="919"/>
      <c r="Q8" s="920">
        <v>0</v>
      </c>
      <c r="R8" s="921"/>
      <c r="T8" s="918">
        <v>0</v>
      </c>
      <c r="U8" s="919"/>
      <c r="V8" s="920">
        <v>0</v>
      </c>
      <c r="W8" s="921"/>
      <c r="Y8" s="918">
        <v>0</v>
      </c>
      <c r="Z8" s="919"/>
      <c r="AA8" s="920">
        <v>0</v>
      </c>
      <c r="AB8" s="921"/>
      <c r="AD8" s="902">
        <f>IF('BP1'!$K$5&gt;4,E8+J8+O8+T8+Y8,IF('BP1'!$K$5&gt;3,E8+J8+O8+T8,IF('BP1'!$K$5&gt;2,E8+J8+O8,IF('BP1'!$K$5&gt;1,E8+J8,E8))))</f>
        <v>0</v>
      </c>
      <c r="AE8" s="903"/>
      <c r="AF8" s="908">
        <f>IF('BP1'!$K$5&gt;4,G8+L8+Q8+V8+AA8,IF('BP1'!$K$5&gt;3,G8+L8+Q8+V8,IF('BP1'!$K$5&gt;2,G8+L8+Q8,IF('BP1'!$K$5&gt;1,G8+L8,G8))))</f>
        <v>0</v>
      </c>
      <c r="AG8" s="909"/>
    </row>
    <row r="9" spans="1:33" ht="12" customHeight="1" thickBot="1">
      <c r="A9" s="498" t="s">
        <v>579</v>
      </c>
      <c r="B9" s="499"/>
      <c r="C9" s="500"/>
      <c r="D9" s="501" t="s">
        <v>97</v>
      </c>
      <c r="E9" s="904">
        <f>E7+E8</f>
        <v>0</v>
      </c>
      <c r="F9" s="905"/>
      <c r="G9" s="912">
        <f>G7+G8</f>
        <v>0</v>
      </c>
      <c r="H9" s="913"/>
      <c r="I9" s="500"/>
      <c r="J9" s="904">
        <f>J7+J8</f>
        <v>0</v>
      </c>
      <c r="K9" s="905"/>
      <c r="L9" s="912">
        <f>IF(AND(L7="",L8=""),"",L7+L8)</f>
        <v>0</v>
      </c>
      <c r="M9" s="913"/>
      <c r="N9" s="500"/>
      <c r="O9" s="904">
        <f>O7+O8</f>
        <v>0</v>
      </c>
      <c r="P9" s="905"/>
      <c r="Q9" s="912">
        <f>IF(AND(Q7="",Q8=""),"",Q7+Q8)</f>
        <v>0</v>
      </c>
      <c r="R9" s="913"/>
      <c r="S9" s="500"/>
      <c r="T9" s="904">
        <f>T7+T8</f>
        <v>0</v>
      </c>
      <c r="U9" s="905"/>
      <c r="V9" s="912">
        <f>IF(AND(V7="",V8=""),"",V7+V8)</f>
        <v>0</v>
      </c>
      <c r="W9" s="913"/>
      <c r="X9" s="500"/>
      <c r="Y9" s="904">
        <f>Y7+Y8</f>
        <v>0</v>
      </c>
      <c r="Z9" s="905"/>
      <c r="AA9" s="912">
        <f>IF(AND(AA7="",AA8=""),"",AA7+AA8)</f>
        <v>0</v>
      </c>
      <c r="AB9" s="913"/>
      <c r="AC9" s="500"/>
      <c r="AD9" s="904">
        <f>AD7+AD8</f>
        <v>0</v>
      </c>
      <c r="AE9" s="905"/>
      <c r="AF9" s="912">
        <f>AF7+AF8</f>
        <v>0</v>
      </c>
      <c r="AG9" s="913"/>
    </row>
    <row r="10" spans="1:33" ht="12" customHeight="1" thickTop="1">
      <c r="A10" s="935" t="s">
        <v>567</v>
      </c>
      <c r="B10" s="935"/>
      <c r="D10" s="494" t="s">
        <v>580</v>
      </c>
      <c r="E10" s="918">
        <v>0</v>
      </c>
      <c r="F10" s="919"/>
      <c r="G10" s="920">
        <v>0</v>
      </c>
      <c r="H10" s="921"/>
      <c r="J10" s="918">
        <v>0</v>
      </c>
      <c r="K10" s="919"/>
      <c r="L10" s="920">
        <v>0</v>
      </c>
      <c r="M10" s="921"/>
      <c r="O10" s="918">
        <v>0</v>
      </c>
      <c r="P10" s="919"/>
      <c r="Q10" s="920">
        <v>0</v>
      </c>
      <c r="R10" s="921"/>
      <c r="T10" s="918">
        <v>0</v>
      </c>
      <c r="U10" s="919"/>
      <c r="V10" s="920">
        <v>0</v>
      </c>
      <c r="W10" s="921"/>
      <c r="Y10" s="918">
        <v>0</v>
      </c>
      <c r="Z10" s="919"/>
      <c r="AA10" s="922">
        <v>0</v>
      </c>
      <c r="AB10" s="923"/>
      <c r="AD10" s="906">
        <f>IF('BP1'!$K$5&gt;4,E10+J10+O10+T10+Y10,IF('BP1'!$K$5&gt;3,E10+J10+O10+T10,IF('BP1'!$K$5&gt;2,E10+J10+O10,IF('BP1'!$K$5&gt;1,E10+J10,E10))))</f>
        <v>0</v>
      </c>
      <c r="AE10" s="907"/>
      <c r="AF10" s="910">
        <f>IF('BP1'!$K$5&gt;4,G10+L10+Q10+V10+AA10,IF('BP1'!$K$5&gt;3,G10+L10+Q10+V10,IF('BP1'!$K$5&gt;2,G10+L10+Q10,IF('BP1'!$K$5&gt;1,G10+L10,G10))))</f>
        <v>0</v>
      </c>
      <c r="AG10" s="911"/>
    </row>
    <row r="11" spans="1:33" ht="12" customHeight="1">
      <c r="A11" s="483" t="s">
        <v>578</v>
      </c>
      <c r="B11" s="484"/>
      <c r="D11" s="494" t="s">
        <v>581</v>
      </c>
      <c r="E11" s="918">
        <v>0</v>
      </c>
      <c r="F11" s="919"/>
      <c r="G11" s="920">
        <v>0</v>
      </c>
      <c r="H11" s="921"/>
      <c r="J11" s="918">
        <v>0</v>
      </c>
      <c r="K11" s="919"/>
      <c r="L11" s="920">
        <v>0</v>
      </c>
      <c r="M11" s="921"/>
      <c r="O11" s="918">
        <v>0</v>
      </c>
      <c r="P11" s="919"/>
      <c r="Q11" s="920">
        <v>0</v>
      </c>
      <c r="R11" s="921"/>
      <c r="T11" s="918">
        <v>0</v>
      </c>
      <c r="U11" s="919"/>
      <c r="V11" s="920">
        <v>0</v>
      </c>
      <c r="W11" s="921"/>
      <c r="Y11" s="918">
        <v>0</v>
      </c>
      <c r="Z11" s="919"/>
      <c r="AA11" s="920">
        <v>0</v>
      </c>
      <c r="AB11" s="921"/>
      <c r="AD11" s="902">
        <f>IF('BP1'!$K$5&gt;4,E11+J11+O11+T11+Y11,IF('BP1'!$K$5&gt;3,E11+J11+O11+T11,IF('BP1'!$K$5&gt;2,E11+J11+O11,IF('BP1'!$K$5&gt;1,E11+J11,E11))))</f>
        <v>0</v>
      </c>
      <c r="AE11" s="903"/>
      <c r="AF11" s="908">
        <f>IF('BP1'!$K$5&gt;4,G11+L11+Q11+V11+AA11,IF('BP1'!$K$5&gt;3,G11+L11+Q11+V11,IF('BP1'!$K$5&gt;2,G11+L11+Q11,IF('BP1'!$K$5&gt;1,G11+L11,G11))))</f>
        <v>0</v>
      </c>
      <c r="AG11" s="909"/>
    </row>
    <row r="12" spans="1:33" ht="12" customHeight="1" thickBot="1">
      <c r="A12" s="498" t="s">
        <v>579</v>
      </c>
      <c r="B12" s="499"/>
      <c r="C12" s="500"/>
      <c r="D12" s="501" t="s">
        <v>97</v>
      </c>
      <c r="E12" s="904">
        <f>E10+E11</f>
        <v>0</v>
      </c>
      <c r="F12" s="905"/>
      <c r="G12" s="912">
        <f>G10+G11</f>
        <v>0</v>
      </c>
      <c r="H12" s="913"/>
      <c r="I12" s="500"/>
      <c r="J12" s="904">
        <f>J10+J11</f>
        <v>0</v>
      </c>
      <c r="K12" s="905"/>
      <c r="L12" s="912">
        <f>IF(AND(L10="",L11=""),"",L10+L11)</f>
        <v>0</v>
      </c>
      <c r="M12" s="913"/>
      <c r="N12" s="500"/>
      <c r="O12" s="904">
        <f>O10+O11</f>
        <v>0</v>
      </c>
      <c r="P12" s="905"/>
      <c r="Q12" s="912">
        <f>IF(AND(Q10="",Q11=""),"",Q10+Q11)</f>
        <v>0</v>
      </c>
      <c r="R12" s="913"/>
      <c r="S12" s="500"/>
      <c r="T12" s="904">
        <f>T10+T11</f>
        <v>0</v>
      </c>
      <c r="U12" s="905"/>
      <c r="V12" s="912">
        <f>IF(AND(V10="",V11=""),"",V10+V11)</f>
        <v>0</v>
      </c>
      <c r="W12" s="913"/>
      <c r="X12" s="500"/>
      <c r="Y12" s="904">
        <f>Y10+Y11</f>
        <v>0</v>
      </c>
      <c r="Z12" s="905"/>
      <c r="AA12" s="912">
        <f>IF(AND(AA10="",AA11=""),"",AA10+AA11)</f>
        <v>0</v>
      </c>
      <c r="AB12" s="913"/>
      <c r="AC12" s="500"/>
      <c r="AD12" s="904">
        <f>AD10+AD11</f>
        <v>0</v>
      </c>
      <c r="AE12" s="905"/>
      <c r="AF12" s="912">
        <f>AF10+AF11</f>
        <v>0</v>
      </c>
      <c r="AG12" s="913"/>
    </row>
    <row r="13" spans="1:33" ht="12" customHeight="1" thickTop="1">
      <c r="A13" s="935" t="s">
        <v>568</v>
      </c>
      <c r="B13" s="935"/>
      <c r="D13" s="494" t="s">
        <v>580</v>
      </c>
      <c r="E13" s="918">
        <v>0</v>
      </c>
      <c r="F13" s="919"/>
      <c r="G13" s="920">
        <v>0</v>
      </c>
      <c r="H13" s="921"/>
      <c r="J13" s="918">
        <v>0</v>
      </c>
      <c r="K13" s="919"/>
      <c r="L13" s="920">
        <v>0</v>
      </c>
      <c r="M13" s="921"/>
      <c r="O13" s="918">
        <v>0</v>
      </c>
      <c r="P13" s="919"/>
      <c r="Q13" s="920">
        <v>0</v>
      </c>
      <c r="R13" s="921"/>
      <c r="T13" s="918">
        <v>0</v>
      </c>
      <c r="U13" s="919"/>
      <c r="V13" s="920">
        <v>0</v>
      </c>
      <c r="W13" s="921"/>
      <c r="Y13" s="918">
        <v>0</v>
      </c>
      <c r="Z13" s="919"/>
      <c r="AA13" s="922">
        <v>0</v>
      </c>
      <c r="AB13" s="923"/>
      <c r="AD13" s="906">
        <f>IF('BP1'!$K$5&gt;4,E13+J13+O13+T13+Y13,IF('BP1'!$K$5&gt;3,E13+J13+O13+T13,IF('BP1'!$K$5&gt;2,E13+J13+O13,IF('BP1'!$K$5&gt;1,E13+J13,E13))))</f>
        <v>0</v>
      </c>
      <c r="AE13" s="907"/>
      <c r="AF13" s="910">
        <f>IF('BP1'!$K$5&gt;4,G13+L13+Q13+V13+AA13,IF('BP1'!$K$5&gt;3,G13+L13+Q13+V13,IF('BP1'!$K$5&gt;2,G13+L13+Q13,IF('BP1'!$K$5&gt;1,G13+L13,G13))))</f>
        <v>0</v>
      </c>
      <c r="AG13" s="911"/>
    </row>
    <row r="14" spans="1:33" ht="12" customHeight="1">
      <c r="A14" s="483" t="s">
        <v>578</v>
      </c>
      <c r="B14" s="484"/>
      <c r="D14" s="494" t="s">
        <v>581</v>
      </c>
      <c r="E14" s="918">
        <v>0</v>
      </c>
      <c r="F14" s="919"/>
      <c r="G14" s="920">
        <v>0</v>
      </c>
      <c r="H14" s="921"/>
      <c r="J14" s="918">
        <v>0</v>
      </c>
      <c r="K14" s="919"/>
      <c r="L14" s="920">
        <v>0</v>
      </c>
      <c r="M14" s="921"/>
      <c r="O14" s="918">
        <v>0</v>
      </c>
      <c r="P14" s="919"/>
      <c r="Q14" s="920">
        <v>0</v>
      </c>
      <c r="R14" s="921"/>
      <c r="T14" s="918">
        <v>0</v>
      </c>
      <c r="U14" s="919"/>
      <c r="V14" s="920">
        <v>0</v>
      </c>
      <c r="W14" s="921"/>
      <c r="Y14" s="918">
        <v>0</v>
      </c>
      <c r="Z14" s="919"/>
      <c r="AA14" s="920">
        <v>0</v>
      </c>
      <c r="AB14" s="921"/>
      <c r="AD14" s="902">
        <f>IF('BP1'!$K$5&gt;4,E14+J14+O14+T14+Y14,IF('BP1'!$K$5&gt;3,E14+J14+O14+T14,IF('BP1'!$K$5&gt;2,E14+J14+O14,IF('BP1'!$K$5&gt;1,E14+J14,E14))))</f>
        <v>0</v>
      </c>
      <c r="AE14" s="903"/>
      <c r="AF14" s="908">
        <f>IF('BP1'!$K$5&gt;4,G14+L14+Q14+V14+AA14,IF('BP1'!$K$5&gt;3,G14+L14+Q14+V14,IF('BP1'!$K$5&gt;2,G14+L14+Q14,IF('BP1'!$K$5&gt;1,G14+L14,G14))))</f>
        <v>0</v>
      </c>
      <c r="AG14" s="909"/>
    </row>
    <row r="15" spans="1:33" ht="12" customHeight="1" thickBot="1">
      <c r="A15" s="498" t="s">
        <v>579</v>
      </c>
      <c r="B15" s="499"/>
      <c r="C15" s="500"/>
      <c r="D15" s="501" t="s">
        <v>97</v>
      </c>
      <c r="E15" s="904">
        <f>E13+E14</f>
        <v>0</v>
      </c>
      <c r="F15" s="905"/>
      <c r="G15" s="912">
        <f>G13+G14</f>
        <v>0</v>
      </c>
      <c r="H15" s="913"/>
      <c r="I15" s="500"/>
      <c r="J15" s="904">
        <f>J13+J14</f>
        <v>0</v>
      </c>
      <c r="K15" s="905"/>
      <c r="L15" s="912">
        <f>IF(AND(L13="",L14=""),"",L13+L14)</f>
        <v>0</v>
      </c>
      <c r="M15" s="913"/>
      <c r="N15" s="500"/>
      <c r="O15" s="904">
        <f>O13+O14</f>
        <v>0</v>
      </c>
      <c r="P15" s="905"/>
      <c r="Q15" s="912">
        <f>IF(AND(Q13="",Q14=""),"",Q13+Q14)</f>
        <v>0</v>
      </c>
      <c r="R15" s="913"/>
      <c r="S15" s="500"/>
      <c r="T15" s="904">
        <f>T13+T14</f>
        <v>0</v>
      </c>
      <c r="U15" s="905"/>
      <c r="V15" s="912">
        <f>IF(AND(V13="",V14=""),"",V13+V14)</f>
        <v>0</v>
      </c>
      <c r="W15" s="913"/>
      <c r="X15" s="500"/>
      <c r="Y15" s="904">
        <f>Y13+Y14</f>
        <v>0</v>
      </c>
      <c r="Z15" s="905"/>
      <c r="AA15" s="912">
        <f>IF(AND(AA13="",AA14=""),"",AA13+AA14)</f>
        <v>0</v>
      </c>
      <c r="AB15" s="913"/>
      <c r="AC15" s="500"/>
      <c r="AD15" s="904">
        <f>AD13+AD14</f>
        <v>0</v>
      </c>
      <c r="AE15" s="905"/>
      <c r="AF15" s="912">
        <f>AF13+AF14</f>
        <v>0</v>
      </c>
      <c r="AG15" s="913"/>
    </row>
    <row r="16" spans="1:33" ht="12" customHeight="1" thickTop="1">
      <c r="A16" s="935" t="s">
        <v>569</v>
      </c>
      <c r="B16" s="935"/>
      <c r="D16" s="494" t="s">
        <v>580</v>
      </c>
      <c r="E16" s="918">
        <v>0</v>
      </c>
      <c r="F16" s="919"/>
      <c r="G16" s="920">
        <v>0</v>
      </c>
      <c r="H16" s="921"/>
      <c r="J16" s="918">
        <v>0</v>
      </c>
      <c r="K16" s="919"/>
      <c r="L16" s="920">
        <v>0</v>
      </c>
      <c r="M16" s="921"/>
      <c r="O16" s="918">
        <v>0</v>
      </c>
      <c r="P16" s="919"/>
      <c r="Q16" s="920">
        <v>0</v>
      </c>
      <c r="R16" s="921"/>
      <c r="T16" s="918">
        <v>0</v>
      </c>
      <c r="U16" s="919"/>
      <c r="V16" s="920">
        <v>0</v>
      </c>
      <c r="W16" s="921"/>
      <c r="Y16" s="918">
        <v>0</v>
      </c>
      <c r="Z16" s="919"/>
      <c r="AA16" s="922">
        <v>0</v>
      </c>
      <c r="AB16" s="923"/>
      <c r="AD16" s="906">
        <f>IF('BP1'!$K$5&gt;4,E16+J16+O16+T16+Y16,IF('BP1'!$K$5&gt;3,E16+J16+O16+T16,IF('BP1'!$K$5&gt;2,E16+J16+O16,IF('BP1'!$K$5&gt;1,E16+J16,E16))))</f>
        <v>0</v>
      </c>
      <c r="AE16" s="907"/>
      <c r="AF16" s="910">
        <f>IF('BP1'!$K$5&gt;4,G16+L16+Q16+V16+AA16,IF('BP1'!$K$5&gt;3,G16+L16+Q16+V16,IF('BP1'!$K$5&gt;2,G16+L16+Q16,IF('BP1'!$K$5&gt;1,G16+L16,G16))))</f>
        <v>0</v>
      </c>
      <c r="AG16" s="911"/>
    </row>
    <row r="17" spans="1:33" ht="12" customHeight="1">
      <c r="A17" s="483" t="s">
        <v>578</v>
      </c>
      <c r="B17" s="484"/>
      <c r="D17" s="494" t="s">
        <v>581</v>
      </c>
      <c r="E17" s="918">
        <v>0</v>
      </c>
      <c r="F17" s="919"/>
      <c r="G17" s="920">
        <v>0</v>
      </c>
      <c r="H17" s="921"/>
      <c r="J17" s="918">
        <v>0</v>
      </c>
      <c r="K17" s="919"/>
      <c r="L17" s="920">
        <v>0</v>
      </c>
      <c r="M17" s="921"/>
      <c r="O17" s="918">
        <v>0</v>
      </c>
      <c r="P17" s="919"/>
      <c r="Q17" s="920">
        <v>0</v>
      </c>
      <c r="R17" s="921"/>
      <c r="T17" s="918">
        <v>0</v>
      </c>
      <c r="U17" s="919"/>
      <c r="V17" s="920">
        <v>0</v>
      </c>
      <c r="W17" s="921"/>
      <c r="Y17" s="918">
        <v>0</v>
      </c>
      <c r="Z17" s="919"/>
      <c r="AA17" s="920">
        <v>0</v>
      </c>
      <c r="AB17" s="921"/>
      <c r="AD17" s="902">
        <f>IF('BP1'!$K$5&gt;4,E17+J17+O17+T17+Y17,IF('BP1'!$K$5&gt;3,E17+J17+O17+T17,IF('BP1'!$K$5&gt;2,E17+J17+O17,IF('BP1'!$K$5&gt;1,E17+J17,E17))))</f>
        <v>0</v>
      </c>
      <c r="AE17" s="903"/>
      <c r="AF17" s="908">
        <f>IF('BP1'!$K$5&gt;4,G17+L17+Q17+V17+AA17,IF('BP1'!$K$5&gt;3,G17+L17+Q17+V17,IF('BP1'!$K$5&gt;2,G17+L17+Q17,IF('BP1'!$K$5&gt;1,G17+L17,G17))))</f>
        <v>0</v>
      </c>
      <c r="AG17" s="909"/>
    </row>
    <row r="18" spans="1:33" ht="12" customHeight="1" thickBot="1">
      <c r="A18" s="498" t="s">
        <v>579</v>
      </c>
      <c r="B18" s="499"/>
      <c r="C18" s="500"/>
      <c r="D18" s="501" t="s">
        <v>97</v>
      </c>
      <c r="E18" s="904">
        <f>E16+E17</f>
        <v>0</v>
      </c>
      <c r="F18" s="905"/>
      <c r="G18" s="912">
        <f>G16+G17</f>
        <v>0</v>
      </c>
      <c r="H18" s="913"/>
      <c r="I18" s="500"/>
      <c r="J18" s="904">
        <f>J16+J17</f>
        <v>0</v>
      </c>
      <c r="K18" s="905"/>
      <c r="L18" s="912">
        <f>IF(AND(L16="",L17=""),"",L16+L17)</f>
        <v>0</v>
      </c>
      <c r="M18" s="913"/>
      <c r="N18" s="500"/>
      <c r="O18" s="904">
        <f>O16+O17</f>
        <v>0</v>
      </c>
      <c r="P18" s="905"/>
      <c r="Q18" s="912">
        <f>IF(AND(Q16="",Q17=""),"",Q16+Q17)</f>
        <v>0</v>
      </c>
      <c r="R18" s="913"/>
      <c r="S18" s="500"/>
      <c r="T18" s="904">
        <f>T16+T17</f>
        <v>0</v>
      </c>
      <c r="U18" s="905"/>
      <c r="V18" s="912">
        <f>IF(AND(V16="",V17=""),"",V16+V17)</f>
        <v>0</v>
      </c>
      <c r="W18" s="913"/>
      <c r="X18" s="500"/>
      <c r="Y18" s="904">
        <f>Y16+Y17</f>
        <v>0</v>
      </c>
      <c r="Z18" s="905"/>
      <c r="AA18" s="912">
        <f>IF(AND(AA16="",AA17=""),"",AA16+AA17)</f>
        <v>0</v>
      </c>
      <c r="AB18" s="913"/>
      <c r="AC18" s="500"/>
      <c r="AD18" s="904">
        <f>AD16+AD17</f>
        <v>0</v>
      </c>
      <c r="AE18" s="905"/>
      <c r="AF18" s="912">
        <f>AF16+AF17</f>
        <v>0</v>
      </c>
      <c r="AG18" s="913"/>
    </row>
    <row r="19" spans="1:33" ht="12" customHeight="1" thickTop="1">
      <c r="A19" s="935" t="s">
        <v>570</v>
      </c>
      <c r="B19" s="935"/>
      <c r="D19" s="494" t="s">
        <v>580</v>
      </c>
      <c r="E19" s="918">
        <v>0</v>
      </c>
      <c r="F19" s="919"/>
      <c r="G19" s="920">
        <v>0</v>
      </c>
      <c r="H19" s="921"/>
      <c r="J19" s="918">
        <v>0</v>
      </c>
      <c r="K19" s="919"/>
      <c r="L19" s="920">
        <v>0</v>
      </c>
      <c r="M19" s="921"/>
      <c r="O19" s="918">
        <v>0</v>
      </c>
      <c r="P19" s="919"/>
      <c r="Q19" s="920">
        <v>0</v>
      </c>
      <c r="R19" s="921"/>
      <c r="T19" s="918">
        <v>0</v>
      </c>
      <c r="U19" s="919"/>
      <c r="V19" s="920">
        <v>0</v>
      </c>
      <c r="W19" s="921"/>
      <c r="Y19" s="918">
        <v>0</v>
      </c>
      <c r="Z19" s="919"/>
      <c r="AA19" s="922">
        <v>0</v>
      </c>
      <c r="AB19" s="923"/>
      <c r="AD19" s="906">
        <f>IF('BP1'!$K$5&gt;4,E19+J19+O19+T19+Y19,IF('BP1'!$K$5&gt;3,E19+J19+O19+T19,IF('BP1'!$K$5&gt;2,E19+J19+O19,IF('BP1'!$K$5&gt;1,E19+J19,E19))))</f>
        <v>0</v>
      </c>
      <c r="AE19" s="907"/>
      <c r="AF19" s="910">
        <f>IF('BP1'!$K$5&gt;4,G19+L19+Q19+V19+AA19,IF('BP1'!$K$5&gt;3,G19+L19+Q19+V19,IF('BP1'!$K$5&gt;2,G19+L19+Q19,IF('BP1'!$K$5&gt;1,G19+L19,G19))))</f>
        <v>0</v>
      </c>
      <c r="AG19" s="911"/>
    </row>
    <row r="20" spans="1:33" ht="12" customHeight="1">
      <c r="A20" s="483" t="s">
        <v>578</v>
      </c>
      <c r="B20" s="484"/>
      <c r="D20" s="494" t="s">
        <v>581</v>
      </c>
      <c r="E20" s="918">
        <v>0</v>
      </c>
      <c r="F20" s="919"/>
      <c r="G20" s="920">
        <v>0</v>
      </c>
      <c r="H20" s="921"/>
      <c r="J20" s="918">
        <v>0</v>
      </c>
      <c r="K20" s="919"/>
      <c r="L20" s="920">
        <v>0</v>
      </c>
      <c r="M20" s="921"/>
      <c r="O20" s="918">
        <v>0</v>
      </c>
      <c r="P20" s="919"/>
      <c r="Q20" s="920">
        <v>0</v>
      </c>
      <c r="R20" s="921"/>
      <c r="T20" s="918">
        <v>0</v>
      </c>
      <c r="U20" s="919"/>
      <c r="V20" s="920">
        <v>0</v>
      </c>
      <c r="W20" s="921"/>
      <c r="Y20" s="918">
        <v>0</v>
      </c>
      <c r="Z20" s="919"/>
      <c r="AA20" s="920">
        <v>0</v>
      </c>
      <c r="AB20" s="921"/>
      <c r="AD20" s="902">
        <f>IF('BP1'!$K$5&gt;4,E20+J20+O20+T20+Y20,IF('BP1'!$K$5&gt;3,E20+J20+O20+T20,IF('BP1'!$K$5&gt;2,E20+J20+O20,IF('BP1'!$K$5&gt;1,E20+J20,E20))))</f>
        <v>0</v>
      </c>
      <c r="AE20" s="903"/>
      <c r="AF20" s="908">
        <f>IF('BP1'!$K$5&gt;4,G20+L20+Q20+V20+AA20,IF('BP1'!$K$5&gt;3,G20+L20+Q20+V20,IF('BP1'!$K$5&gt;2,G20+L20+Q20,IF('BP1'!$K$5&gt;1,G20+L20,G20))))</f>
        <v>0</v>
      </c>
      <c r="AG20" s="909"/>
    </row>
    <row r="21" spans="1:33" ht="12" customHeight="1" thickBot="1">
      <c r="A21" s="498" t="s">
        <v>579</v>
      </c>
      <c r="B21" s="499"/>
      <c r="C21" s="500"/>
      <c r="D21" s="501" t="s">
        <v>97</v>
      </c>
      <c r="E21" s="904">
        <f>E19+E20</f>
        <v>0</v>
      </c>
      <c r="F21" s="905"/>
      <c r="G21" s="912">
        <f>G19+G20</f>
        <v>0</v>
      </c>
      <c r="H21" s="913"/>
      <c r="I21" s="500"/>
      <c r="J21" s="904">
        <f>J19+J20</f>
        <v>0</v>
      </c>
      <c r="K21" s="905"/>
      <c r="L21" s="912">
        <f>IF(AND(L19="",L20=""),"",L19+L20)</f>
        <v>0</v>
      </c>
      <c r="M21" s="913"/>
      <c r="N21" s="500"/>
      <c r="O21" s="904">
        <f>O19+O20</f>
        <v>0</v>
      </c>
      <c r="P21" s="905"/>
      <c r="Q21" s="912">
        <f>IF(AND(Q19="",Q20=""),"",Q19+Q20)</f>
        <v>0</v>
      </c>
      <c r="R21" s="913"/>
      <c r="S21" s="500"/>
      <c r="T21" s="904">
        <f>T19+T20</f>
        <v>0</v>
      </c>
      <c r="U21" s="905"/>
      <c r="V21" s="912">
        <f>IF(AND(V19="",V20=""),"",V19+V20)</f>
        <v>0</v>
      </c>
      <c r="W21" s="913"/>
      <c r="X21" s="500"/>
      <c r="Y21" s="904">
        <f>Y19+Y20</f>
        <v>0</v>
      </c>
      <c r="Z21" s="905"/>
      <c r="AA21" s="912">
        <f>IF(AND(AA19="",AA20=""),"",AA19+AA20)</f>
        <v>0</v>
      </c>
      <c r="AB21" s="913"/>
      <c r="AC21" s="500"/>
      <c r="AD21" s="904">
        <f>AD19+AD20</f>
        <v>0</v>
      </c>
      <c r="AE21" s="905"/>
      <c r="AF21" s="912">
        <f>AF19+AF20</f>
        <v>0</v>
      </c>
      <c r="AG21" s="913"/>
    </row>
    <row r="22" spans="1:33" ht="12" customHeight="1" thickTop="1">
      <c r="A22" s="935" t="s">
        <v>571</v>
      </c>
      <c r="B22" s="935"/>
      <c r="D22" s="494" t="s">
        <v>580</v>
      </c>
      <c r="E22" s="918">
        <v>0</v>
      </c>
      <c r="F22" s="919"/>
      <c r="G22" s="920">
        <v>0</v>
      </c>
      <c r="H22" s="921"/>
      <c r="J22" s="918">
        <v>0</v>
      </c>
      <c r="K22" s="919"/>
      <c r="L22" s="920">
        <v>0</v>
      </c>
      <c r="M22" s="921"/>
      <c r="O22" s="918">
        <v>0</v>
      </c>
      <c r="P22" s="919"/>
      <c r="Q22" s="920">
        <v>0</v>
      </c>
      <c r="R22" s="921"/>
      <c r="T22" s="918">
        <v>0</v>
      </c>
      <c r="U22" s="919"/>
      <c r="V22" s="920">
        <v>0</v>
      </c>
      <c r="W22" s="921"/>
      <c r="Y22" s="918">
        <v>0</v>
      </c>
      <c r="Z22" s="919"/>
      <c r="AA22" s="922">
        <v>0</v>
      </c>
      <c r="AB22" s="923"/>
      <c r="AD22" s="906">
        <f>IF('BP1'!$K$5&gt;4,E22+J22+O22+T22+Y22,IF('BP1'!$K$5&gt;3,E22+J22+O22+T22,IF('BP1'!$K$5&gt;2,E22+J22+O22,IF('BP1'!$K$5&gt;1,E22+J22,E22))))</f>
        <v>0</v>
      </c>
      <c r="AE22" s="907"/>
      <c r="AF22" s="910">
        <f>IF('BP1'!$K$5&gt;4,G22+L22+Q22+V22+AA22,IF('BP1'!$K$5&gt;3,G22+L22+Q22+V22,IF('BP1'!$K$5&gt;2,G22+L22+Q22,IF('BP1'!$K$5&gt;1,G22+L22,G22))))</f>
        <v>0</v>
      </c>
      <c r="AG22" s="911"/>
    </row>
    <row r="23" spans="1:33" ht="12" customHeight="1">
      <c r="A23" s="483" t="s">
        <v>578</v>
      </c>
      <c r="B23" s="484"/>
      <c r="D23" s="494" t="s">
        <v>581</v>
      </c>
      <c r="E23" s="918">
        <v>0</v>
      </c>
      <c r="F23" s="919"/>
      <c r="G23" s="920">
        <v>0</v>
      </c>
      <c r="H23" s="921"/>
      <c r="J23" s="918">
        <v>0</v>
      </c>
      <c r="K23" s="919"/>
      <c r="L23" s="920">
        <v>0</v>
      </c>
      <c r="M23" s="921"/>
      <c r="O23" s="918">
        <v>0</v>
      </c>
      <c r="P23" s="919"/>
      <c r="Q23" s="920">
        <v>0</v>
      </c>
      <c r="R23" s="921"/>
      <c r="T23" s="918">
        <v>0</v>
      </c>
      <c r="U23" s="919"/>
      <c r="V23" s="920">
        <v>0</v>
      </c>
      <c r="W23" s="921"/>
      <c r="Y23" s="918">
        <v>0</v>
      </c>
      <c r="Z23" s="919"/>
      <c r="AA23" s="920">
        <v>0</v>
      </c>
      <c r="AB23" s="921"/>
      <c r="AD23" s="902">
        <f>IF('BP1'!$K$5&gt;4,E23+J23+O23+T23+Y23,IF('BP1'!$K$5&gt;3,E23+J23+O23+T23,IF('BP1'!$K$5&gt;2,E23+J23+O23,IF('BP1'!$K$5&gt;1,E23+J23,E23))))</f>
        <v>0</v>
      </c>
      <c r="AE23" s="903"/>
      <c r="AF23" s="908">
        <f>IF('BP1'!$K$5&gt;4,G23+L23+Q23+V23+AA23,IF('BP1'!$K$5&gt;3,G23+L23+Q23+V23,IF('BP1'!$K$5&gt;2,G23+L23+Q23,IF('BP1'!$K$5&gt;1,G23+L23,G23))))</f>
        <v>0</v>
      </c>
      <c r="AG23" s="909"/>
    </row>
    <row r="24" spans="1:33" ht="12" customHeight="1" thickBot="1">
      <c r="A24" s="498" t="s">
        <v>579</v>
      </c>
      <c r="B24" s="499"/>
      <c r="C24" s="500"/>
      <c r="D24" s="501" t="s">
        <v>97</v>
      </c>
      <c r="E24" s="904">
        <f>E22+E23</f>
        <v>0</v>
      </c>
      <c r="F24" s="905"/>
      <c r="G24" s="912">
        <f>G22+G23</f>
        <v>0</v>
      </c>
      <c r="H24" s="913"/>
      <c r="I24" s="500"/>
      <c r="J24" s="904">
        <f>J22+J23</f>
        <v>0</v>
      </c>
      <c r="K24" s="905"/>
      <c r="L24" s="912">
        <f>IF(AND(L22="",L23=""),"",L22+L23)</f>
        <v>0</v>
      </c>
      <c r="M24" s="913"/>
      <c r="N24" s="500"/>
      <c r="O24" s="904">
        <f>O22+O23</f>
        <v>0</v>
      </c>
      <c r="P24" s="905"/>
      <c r="Q24" s="912">
        <f>IF(AND(Q22="",Q23=""),"",Q22+Q23)</f>
        <v>0</v>
      </c>
      <c r="R24" s="913"/>
      <c r="S24" s="500"/>
      <c r="T24" s="904">
        <f>T22+T23</f>
        <v>0</v>
      </c>
      <c r="U24" s="905"/>
      <c r="V24" s="912">
        <f>IF(AND(V22="",V23=""),"",V22+V23)</f>
        <v>0</v>
      </c>
      <c r="W24" s="913"/>
      <c r="X24" s="500"/>
      <c r="Y24" s="904">
        <f>Y22+Y23</f>
        <v>0</v>
      </c>
      <c r="Z24" s="905"/>
      <c r="AA24" s="912">
        <f>IF(AND(AA22="",AA23=""),"",AA22+AA23)</f>
        <v>0</v>
      </c>
      <c r="AB24" s="913"/>
      <c r="AC24" s="500"/>
      <c r="AD24" s="904">
        <f>AD22+AD23</f>
        <v>0</v>
      </c>
      <c r="AE24" s="905"/>
      <c r="AF24" s="912">
        <f>AF22+AF23</f>
        <v>0</v>
      </c>
      <c r="AG24" s="913"/>
    </row>
    <row r="25" spans="1:33" ht="12" customHeight="1" thickTop="1">
      <c r="A25" s="935" t="s">
        <v>572</v>
      </c>
      <c r="B25" s="935"/>
      <c r="D25" s="494" t="s">
        <v>580</v>
      </c>
      <c r="E25" s="918">
        <v>0</v>
      </c>
      <c r="F25" s="919"/>
      <c r="G25" s="920">
        <v>0</v>
      </c>
      <c r="H25" s="921"/>
      <c r="J25" s="918">
        <v>0</v>
      </c>
      <c r="K25" s="919"/>
      <c r="L25" s="920">
        <v>0</v>
      </c>
      <c r="M25" s="921"/>
      <c r="O25" s="918">
        <v>0</v>
      </c>
      <c r="P25" s="919"/>
      <c r="Q25" s="920">
        <v>0</v>
      </c>
      <c r="R25" s="921"/>
      <c r="T25" s="918">
        <v>0</v>
      </c>
      <c r="U25" s="919"/>
      <c r="V25" s="920">
        <v>0</v>
      </c>
      <c r="W25" s="921"/>
      <c r="Y25" s="918">
        <v>0</v>
      </c>
      <c r="Z25" s="919"/>
      <c r="AA25" s="922">
        <v>0</v>
      </c>
      <c r="AB25" s="923"/>
      <c r="AD25" s="906">
        <f>IF('BP1'!$K$5&gt;4,E25+J25+O25+T25+Y25,IF('BP1'!$K$5&gt;3,E25+J25+O25+T25,IF('BP1'!$K$5&gt;2,E25+J25+O25,IF('BP1'!$K$5&gt;1,E25+J25,E25))))</f>
        <v>0</v>
      </c>
      <c r="AE25" s="907"/>
      <c r="AF25" s="910">
        <f>IF('BP1'!$K$5&gt;4,G25+L25+Q25+V25+AA25,IF('BP1'!$K$5&gt;3,G25+L25+Q25+V25,IF('BP1'!$K$5&gt;2,G25+L25+Q25,IF('BP1'!$K$5&gt;1,G25+L25,G25))))</f>
        <v>0</v>
      </c>
      <c r="AG25" s="911"/>
    </row>
    <row r="26" spans="1:33" ht="12" customHeight="1">
      <c r="A26" s="483" t="s">
        <v>578</v>
      </c>
      <c r="B26" s="484"/>
      <c r="D26" s="494" t="s">
        <v>581</v>
      </c>
      <c r="E26" s="918">
        <v>0</v>
      </c>
      <c r="F26" s="919"/>
      <c r="G26" s="920">
        <v>0</v>
      </c>
      <c r="H26" s="921"/>
      <c r="J26" s="918">
        <v>0</v>
      </c>
      <c r="K26" s="919"/>
      <c r="L26" s="920">
        <v>0</v>
      </c>
      <c r="M26" s="921"/>
      <c r="O26" s="918">
        <v>0</v>
      </c>
      <c r="P26" s="919"/>
      <c r="Q26" s="920">
        <v>0</v>
      </c>
      <c r="R26" s="921"/>
      <c r="T26" s="918">
        <v>0</v>
      </c>
      <c r="U26" s="919"/>
      <c r="V26" s="920">
        <v>0</v>
      </c>
      <c r="W26" s="921"/>
      <c r="Y26" s="918">
        <v>0</v>
      </c>
      <c r="Z26" s="919"/>
      <c r="AA26" s="920">
        <v>0</v>
      </c>
      <c r="AB26" s="921"/>
      <c r="AD26" s="902">
        <f>IF('BP1'!$K$5&gt;4,E26+J26+O26+T26+Y26,IF('BP1'!$K$5&gt;3,E26+J26+O26+T26,IF('BP1'!$K$5&gt;2,E26+J26+O26,IF('BP1'!$K$5&gt;1,E26+J26,E26))))</f>
        <v>0</v>
      </c>
      <c r="AE26" s="903"/>
      <c r="AF26" s="908">
        <f>IF('BP1'!$K$5&gt;4,G26+L26+Q26+V26+AA26,IF('BP1'!$K$5&gt;3,G26+L26+Q26+V26,IF('BP1'!$K$5&gt;2,G26+L26+Q26,IF('BP1'!$K$5&gt;1,G26+L26,G26))))</f>
        <v>0</v>
      </c>
      <c r="AG26" s="909"/>
    </row>
    <row r="27" spans="1:33" ht="12" customHeight="1" thickBot="1">
      <c r="A27" s="498" t="s">
        <v>579</v>
      </c>
      <c r="B27" s="499"/>
      <c r="C27" s="500"/>
      <c r="D27" s="501" t="s">
        <v>97</v>
      </c>
      <c r="E27" s="904">
        <f>E25+E26</f>
        <v>0</v>
      </c>
      <c r="F27" s="905"/>
      <c r="G27" s="912">
        <f>G25+G26</f>
        <v>0</v>
      </c>
      <c r="H27" s="913"/>
      <c r="I27" s="500"/>
      <c r="J27" s="904">
        <f>J25+J26</f>
        <v>0</v>
      </c>
      <c r="K27" s="905"/>
      <c r="L27" s="912">
        <f>IF(AND(L25="",L26=""),"",L25+L26)</f>
        <v>0</v>
      </c>
      <c r="M27" s="913"/>
      <c r="N27" s="500"/>
      <c r="O27" s="904">
        <f>O25+O26</f>
        <v>0</v>
      </c>
      <c r="P27" s="905"/>
      <c r="Q27" s="912">
        <f>IF(AND(Q25="",Q26=""),"",Q25+Q26)</f>
        <v>0</v>
      </c>
      <c r="R27" s="913"/>
      <c r="S27" s="500"/>
      <c r="T27" s="904">
        <f>T25+T26</f>
        <v>0</v>
      </c>
      <c r="U27" s="905"/>
      <c r="V27" s="912">
        <f>IF(AND(V25="",V26=""),"",V25+V26)</f>
        <v>0</v>
      </c>
      <c r="W27" s="913"/>
      <c r="X27" s="500"/>
      <c r="Y27" s="904">
        <f>Y25+Y26</f>
        <v>0</v>
      </c>
      <c r="Z27" s="905"/>
      <c r="AA27" s="912">
        <f>IF(AND(AA25="",AA26=""),"",AA25+AA26)</f>
        <v>0</v>
      </c>
      <c r="AB27" s="913"/>
      <c r="AC27" s="500"/>
      <c r="AD27" s="904">
        <f>AD25+AD26</f>
        <v>0</v>
      </c>
      <c r="AE27" s="905"/>
      <c r="AF27" s="912">
        <f>AF25+AF26</f>
        <v>0</v>
      </c>
      <c r="AG27" s="913"/>
    </row>
    <row r="28" spans="1:33" ht="12" customHeight="1" thickTop="1">
      <c r="A28" s="935" t="s">
        <v>573</v>
      </c>
      <c r="B28" s="935"/>
      <c r="D28" s="494" t="s">
        <v>580</v>
      </c>
      <c r="E28" s="918">
        <v>0</v>
      </c>
      <c r="F28" s="919"/>
      <c r="G28" s="920">
        <v>0</v>
      </c>
      <c r="H28" s="921"/>
      <c r="J28" s="918">
        <v>0</v>
      </c>
      <c r="K28" s="919"/>
      <c r="L28" s="920">
        <v>0</v>
      </c>
      <c r="M28" s="921"/>
      <c r="O28" s="918">
        <v>0</v>
      </c>
      <c r="P28" s="919"/>
      <c r="Q28" s="920">
        <v>0</v>
      </c>
      <c r="R28" s="921"/>
      <c r="T28" s="918">
        <v>0</v>
      </c>
      <c r="U28" s="919"/>
      <c r="V28" s="920">
        <v>0</v>
      </c>
      <c r="W28" s="921"/>
      <c r="Y28" s="918">
        <v>0</v>
      </c>
      <c r="Z28" s="919"/>
      <c r="AA28" s="922">
        <v>0</v>
      </c>
      <c r="AB28" s="923"/>
      <c r="AD28" s="906">
        <f>IF('BP1'!$K$5&gt;4,E28+J28+O28+T28+Y28,IF('BP1'!$K$5&gt;3,E28+J28+O28+T28,IF('BP1'!$K$5&gt;2,E28+J28+O28,IF('BP1'!$K$5&gt;1,E28+J28,E28))))</f>
        <v>0</v>
      </c>
      <c r="AE28" s="907"/>
      <c r="AF28" s="910">
        <f>IF('BP1'!$K$5&gt;4,G28+L28+Q28+V28+AA28,IF('BP1'!$K$5&gt;3,G28+L28+Q28+V28,IF('BP1'!$K$5&gt;2,G28+L28+Q28,IF('BP1'!$K$5&gt;1,G28+L28,G28))))</f>
        <v>0</v>
      </c>
      <c r="AG28" s="911"/>
    </row>
    <row r="29" spans="1:33" ht="12" customHeight="1">
      <c r="A29" s="483" t="s">
        <v>578</v>
      </c>
      <c r="B29" s="484"/>
      <c r="D29" s="494" t="s">
        <v>581</v>
      </c>
      <c r="E29" s="918">
        <v>0</v>
      </c>
      <c r="F29" s="919"/>
      <c r="G29" s="920">
        <v>0</v>
      </c>
      <c r="H29" s="921"/>
      <c r="J29" s="918">
        <v>0</v>
      </c>
      <c r="K29" s="919"/>
      <c r="L29" s="920">
        <v>0</v>
      </c>
      <c r="M29" s="921"/>
      <c r="O29" s="918">
        <v>0</v>
      </c>
      <c r="P29" s="919"/>
      <c r="Q29" s="920">
        <v>0</v>
      </c>
      <c r="R29" s="921"/>
      <c r="T29" s="918">
        <v>0</v>
      </c>
      <c r="U29" s="919"/>
      <c r="V29" s="920">
        <v>0</v>
      </c>
      <c r="W29" s="921"/>
      <c r="Y29" s="918">
        <v>0</v>
      </c>
      <c r="Z29" s="919"/>
      <c r="AA29" s="920">
        <v>0</v>
      </c>
      <c r="AB29" s="921"/>
      <c r="AD29" s="902">
        <f>IF('BP1'!$K$5&gt;4,E29+J29+O29+T29+Y29,IF('BP1'!$K$5&gt;3,E29+J29+O29+T29,IF('BP1'!$K$5&gt;2,E29+J29+O29,IF('BP1'!$K$5&gt;1,E29+J29,E29))))</f>
        <v>0</v>
      </c>
      <c r="AE29" s="903"/>
      <c r="AF29" s="908">
        <f>IF('BP1'!$K$5&gt;4,G29+L29+Q29+V29+AA29,IF('BP1'!$K$5&gt;3,G29+L29+Q29+V29,IF('BP1'!$K$5&gt;2,G29+L29+Q29,IF('BP1'!$K$5&gt;1,G29+L29,G29))))</f>
        <v>0</v>
      </c>
      <c r="AG29" s="909"/>
    </row>
    <row r="30" spans="1:33" ht="12" customHeight="1" thickBot="1">
      <c r="A30" s="498" t="s">
        <v>579</v>
      </c>
      <c r="B30" s="499"/>
      <c r="C30" s="500"/>
      <c r="D30" s="501" t="s">
        <v>97</v>
      </c>
      <c r="E30" s="904">
        <f>E28+E29</f>
        <v>0</v>
      </c>
      <c r="F30" s="905"/>
      <c r="G30" s="912">
        <f>G28+G29</f>
        <v>0</v>
      </c>
      <c r="H30" s="913"/>
      <c r="I30" s="500"/>
      <c r="J30" s="904">
        <f>J28+J29</f>
        <v>0</v>
      </c>
      <c r="K30" s="905"/>
      <c r="L30" s="912">
        <f>IF(AND(L28="",L29=""),"",L28+L29)</f>
        <v>0</v>
      </c>
      <c r="M30" s="913"/>
      <c r="N30" s="500"/>
      <c r="O30" s="904">
        <f>O28+O29</f>
        <v>0</v>
      </c>
      <c r="P30" s="905"/>
      <c r="Q30" s="912">
        <f>IF(AND(Q28="",Q29=""),"",Q28+Q29)</f>
        <v>0</v>
      </c>
      <c r="R30" s="913"/>
      <c r="S30" s="500"/>
      <c r="T30" s="904">
        <f>T28+T29</f>
        <v>0</v>
      </c>
      <c r="U30" s="905"/>
      <c r="V30" s="912">
        <f>IF(AND(V28="",V29=""),"",V28+V29)</f>
        <v>0</v>
      </c>
      <c r="W30" s="913"/>
      <c r="X30" s="500"/>
      <c r="Y30" s="904">
        <f>Y28+Y29</f>
        <v>0</v>
      </c>
      <c r="Z30" s="905"/>
      <c r="AA30" s="912">
        <f>IF(AND(AA28="",AA29=""),"",AA28+AA29)</f>
        <v>0</v>
      </c>
      <c r="AB30" s="913"/>
      <c r="AC30" s="500"/>
      <c r="AD30" s="904">
        <f>AD28+AD29</f>
        <v>0</v>
      </c>
      <c r="AE30" s="905"/>
      <c r="AF30" s="912">
        <f>AF28+AF29</f>
        <v>0</v>
      </c>
      <c r="AG30" s="913"/>
    </row>
    <row r="31" spans="1:33" ht="12" customHeight="1" thickTop="1">
      <c r="A31" s="935" t="s">
        <v>574</v>
      </c>
      <c r="B31" s="935"/>
      <c r="D31" s="494" t="s">
        <v>580</v>
      </c>
      <c r="E31" s="918">
        <v>0</v>
      </c>
      <c r="F31" s="919"/>
      <c r="G31" s="920">
        <v>0</v>
      </c>
      <c r="H31" s="921"/>
      <c r="J31" s="918">
        <v>0</v>
      </c>
      <c r="K31" s="919"/>
      <c r="L31" s="920">
        <v>0</v>
      </c>
      <c r="M31" s="921"/>
      <c r="O31" s="918">
        <v>0</v>
      </c>
      <c r="P31" s="919"/>
      <c r="Q31" s="920">
        <v>0</v>
      </c>
      <c r="R31" s="921"/>
      <c r="T31" s="918">
        <v>0</v>
      </c>
      <c r="U31" s="919"/>
      <c r="V31" s="920">
        <v>0</v>
      </c>
      <c r="W31" s="921"/>
      <c r="Y31" s="918">
        <v>0</v>
      </c>
      <c r="Z31" s="919"/>
      <c r="AA31" s="922">
        <v>0</v>
      </c>
      <c r="AB31" s="923"/>
      <c r="AD31" s="906">
        <f>IF('BP1'!$K$5&gt;4,E31+J31+O31+T31+Y31,IF('BP1'!$K$5&gt;3,E31+J31+O31+T31,IF('BP1'!$K$5&gt;2,E31+J31+O31,IF('BP1'!$K$5&gt;1,E31+J31,E31))))</f>
        <v>0</v>
      </c>
      <c r="AE31" s="907"/>
      <c r="AF31" s="910">
        <f>IF('BP1'!$K$5&gt;4,G31+L31+Q31+V31+AA31,IF('BP1'!$K$5&gt;3,G31+L31+Q31+V31,IF('BP1'!$K$5&gt;2,G31+L31+Q31,IF('BP1'!$K$5&gt;1,G31+L31,G31))))</f>
        <v>0</v>
      </c>
      <c r="AG31" s="911"/>
    </row>
    <row r="32" spans="1:33" ht="12" customHeight="1">
      <c r="A32" s="483" t="s">
        <v>578</v>
      </c>
      <c r="B32" s="484"/>
      <c r="D32" s="494" t="s">
        <v>581</v>
      </c>
      <c r="E32" s="918">
        <v>0</v>
      </c>
      <c r="F32" s="919"/>
      <c r="G32" s="920">
        <v>0</v>
      </c>
      <c r="H32" s="921"/>
      <c r="J32" s="918">
        <v>0</v>
      </c>
      <c r="K32" s="919"/>
      <c r="L32" s="920">
        <v>0</v>
      </c>
      <c r="M32" s="921"/>
      <c r="O32" s="918">
        <v>0</v>
      </c>
      <c r="P32" s="919"/>
      <c r="Q32" s="920">
        <v>0</v>
      </c>
      <c r="R32" s="921"/>
      <c r="T32" s="918">
        <v>0</v>
      </c>
      <c r="U32" s="919"/>
      <c r="V32" s="920">
        <v>0</v>
      </c>
      <c r="W32" s="921"/>
      <c r="Y32" s="918">
        <v>0</v>
      </c>
      <c r="Z32" s="919"/>
      <c r="AA32" s="920">
        <v>0</v>
      </c>
      <c r="AB32" s="921"/>
      <c r="AD32" s="902">
        <f>IF('BP1'!$K$5&gt;4,E32+J32+O32+T32+Y32,IF('BP1'!$K$5&gt;3,E32+J32+O32+T32,IF('BP1'!$K$5&gt;2,E32+J32+O32,IF('BP1'!$K$5&gt;1,E32+J32,E32))))</f>
        <v>0</v>
      </c>
      <c r="AE32" s="903"/>
      <c r="AF32" s="908">
        <f>IF('BP1'!$K$5&gt;4,G32+L32+Q32+V32+AA32,IF('BP1'!$K$5&gt;3,G32+L32+Q32+V32,IF('BP1'!$K$5&gt;2,G32+L32+Q32,IF('BP1'!$K$5&gt;1,G32+L32,G32))))</f>
        <v>0</v>
      </c>
      <c r="AG32" s="909"/>
    </row>
    <row r="33" spans="1:33" ht="12" customHeight="1" thickBot="1">
      <c r="A33" s="498" t="s">
        <v>579</v>
      </c>
      <c r="B33" s="499"/>
      <c r="C33" s="500"/>
      <c r="D33" s="501" t="s">
        <v>97</v>
      </c>
      <c r="E33" s="904">
        <f>E31+E32</f>
        <v>0</v>
      </c>
      <c r="F33" s="905"/>
      <c r="G33" s="912">
        <f>G31+G32</f>
        <v>0</v>
      </c>
      <c r="H33" s="913"/>
      <c r="I33" s="500"/>
      <c r="J33" s="904">
        <f>J31+J32</f>
        <v>0</v>
      </c>
      <c r="K33" s="905"/>
      <c r="L33" s="912">
        <f>IF(AND(L31="",L32=""),"",L31+L32)</f>
        <v>0</v>
      </c>
      <c r="M33" s="913"/>
      <c r="N33" s="500"/>
      <c r="O33" s="904">
        <f>O31+O32</f>
        <v>0</v>
      </c>
      <c r="P33" s="905"/>
      <c r="Q33" s="912">
        <f>IF(AND(Q31="",Q32=""),"",Q31+Q32)</f>
        <v>0</v>
      </c>
      <c r="R33" s="913"/>
      <c r="S33" s="500"/>
      <c r="T33" s="904">
        <f>T31+T32</f>
        <v>0</v>
      </c>
      <c r="U33" s="905"/>
      <c r="V33" s="912">
        <f>IF(AND(V31="",V32=""),"",V31+V32)</f>
        <v>0</v>
      </c>
      <c r="W33" s="913"/>
      <c r="X33" s="500"/>
      <c r="Y33" s="904">
        <f>Y31+Y32</f>
        <v>0</v>
      </c>
      <c r="Z33" s="905"/>
      <c r="AA33" s="912">
        <f>IF(AND(AA31="",AA32=""),"",AA31+AA32)</f>
        <v>0</v>
      </c>
      <c r="AB33" s="913"/>
      <c r="AC33" s="500"/>
      <c r="AD33" s="904">
        <f>AD31+AD32</f>
        <v>0</v>
      </c>
      <c r="AE33" s="905"/>
      <c r="AF33" s="912">
        <f>AF31+AF32</f>
        <v>0</v>
      </c>
      <c r="AG33" s="913"/>
    </row>
    <row r="34" spans="1:33" ht="12" customHeight="1" thickTop="1">
      <c r="A34" s="935" t="s">
        <v>575</v>
      </c>
      <c r="B34" s="935"/>
      <c r="D34" s="494" t="s">
        <v>580</v>
      </c>
      <c r="E34" s="918">
        <v>0</v>
      </c>
      <c r="F34" s="919"/>
      <c r="G34" s="920">
        <v>0</v>
      </c>
      <c r="H34" s="921"/>
      <c r="J34" s="918">
        <v>0</v>
      </c>
      <c r="K34" s="919"/>
      <c r="L34" s="920">
        <v>0</v>
      </c>
      <c r="M34" s="921"/>
      <c r="O34" s="918">
        <v>0</v>
      </c>
      <c r="P34" s="919"/>
      <c r="Q34" s="920">
        <v>0</v>
      </c>
      <c r="R34" s="921"/>
      <c r="T34" s="918">
        <v>0</v>
      </c>
      <c r="U34" s="919"/>
      <c r="V34" s="920">
        <v>0</v>
      </c>
      <c r="W34" s="921"/>
      <c r="Y34" s="918">
        <v>0</v>
      </c>
      <c r="Z34" s="919"/>
      <c r="AA34" s="922">
        <v>0</v>
      </c>
      <c r="AB34" s="923"/>
      <c r="AD34" s="906">
        <f>IF('BP1'!$K$5&gt;4,E34+J34+O34+T34+Y34,IF('BP1'!$K$5&gt;3,E34+J34+O34+T34,IF('BP1'!$K$5&gt;2,E34+J34+O34,IF('BP1'!$K$5&gt;1,E34+J34,E34))))</f>
        <v>0</v>
      </c>
      <c r="AE34" s="907"/>
      <c r="AF34" s="910">
        <f>IF('BP1'!$K$5&gt;4,G34+L34+Q34+V34+AA34,IF('BP1'!$K$5&gt;3,G34+L34+Q34+V34,IF('BP1'!$K$5&gt;2,G34+L34+Q34,IF('BP1'!$K$5&gt;1,G34+L34,G34))))</f>
        <v>0</v>
      </c>
      <c r="AG34" s="911"/>
    </row>
    <row r="35" spans="1:33" ht="12" customHeight="1">
      <c r="A35" s="483" t="s">
        <v>578</v>
      </c>
      <c r="B35" s="484"/>
      <c r="D35" s="494" t="s">
        <v>581</v>
      </c>
      <c r="E35" s="918">
        <v>0</v>
      </c>
      <c r="F35" s="919"/>
      <c r="G35" s="920">
        <v>0</v>
      </c>
      <c r="H35" s="921"/>
      <c r="J35" s="918">
        <v>0</v>
      </c>
      <c r="K35" s="919"/>
      <c r="L35" s="920">
        <v>0</v>
      </c>
      <c r="M35" s="921"/>
      <c r="O35" s="918">
        <v>0</v>
      </c>
      <c r="P35" s="919"/>
      <c r="Q35" s="920">
        <v>0</v>
      </c>
      <c r="R35" s="921"/>
      <c r="T35" s="918">
        <v>0</v>
      </c>
      <c r="U35" s="919"/>
      <c r="V35" s="920">
        <v>0</v>
      </c>
      <c r="W35" s="921"/>
      <c r="Y35" s="918">
        <v>0</v>
      </c>
      <c r="Z35" s="919"/>
      <c r="AA35" s="920">
        <v>0</v>
      </c>
      <c r="AB35" s="921"/>
      <c r="AD35" s="902">
        <f>IF('BP1'!$K$5&gt;4,E35+J35+O35+T35+Y35,IF('BP1'!$K$5&gt;3,E35+J35+O35+T35,IF('BP1'!$K$5&gt;2,E35+J35+O35,IF('BP1'!$K$5&gt;1,E35+J35,E35))))</f>
        <v>0</v>
      </c>
      <c r="AE35" s="903"/>
      <c r="AF35" s="908">
        <f>IF('BP1'!$K$5&gt;4,G35+L35+Q35+V35+AA35,IF('BP1'!$K$5&gt;3,G35+L35+Q35+V35,IF('BP1'!$K$5&gt;2,G35+L35+Q35,IF('BP1'!$K$5&gt;1,G35+L35,G35))))</f>
        <v>0</v>
      </c>
      <c r="AG35" s="909"/>
    </row>
    <row r="36" spans="1:33" ht="12" customHeight="1" thickBot="1">
      <c r="A36" s="498" t="s">
        <v>579</v>
      </c>
      <c r="B36" s="499"/>
      <c r="C36" s="500"/>
      <c r="D36" s="501" t="s">
        <v>97</v>
      </c>
      <c r="E36" s="904">
        <f>E34+E35</f>
        <v>0</v>
      </c>
      <c r="F36" s="905"/>
      <c r="G36" s="912">
        <f>G34+G35</f>
        <v>0</v>
      </c>
      <c r="H36" s="913"/>
      <c r="I36" s="500"/>
      <c r="J36" s="904">
        <f>J34+J35</f>
        <v>0</v>
      </c>
      <c r="K36" s="905"/>
      <c r="L36" s="912">
        <f>IF(AND(L34="",L35=""),"",L34+L35)</f>
        <v>0</v>
      </c>
      <c r="M36" s="913"/>
      <c r="N36" s="500"/>
      <c r="O36" s="904">
        <f>O34+O35</f>
        <v>0</v>
      </c>
      <c r="P36" s="905"/>
      <c r="Q36" s="912">
        <f>IF(AND(Q34="",Q35=""),"",Q34+Q35)</f>
        <v>0</v>
      </c>
      <c r="R36" s="913"/>
      <c r="S36" s="500"/>
      <c r="T36" s="904">
        <f>T34+T35</f>
        <v>0</v>
      </c>
      <c r="U36" s="905"/>
      <c r="V36" s="912">
        <f>IF(AND(V34="",V35=""),"",V34+V35)</f>
        <v>0</v>
      </c>
      <c r="W36" s="913"/>
      <c r="X36" s="500"/>
      <c r="Y36" s="904">
        <f>Y34+Y35</f>
        <v>0</v>
      </c>
      <c r="Z36" s="905"/>
      <c r="AA36" s="912">
        <f>IF(AND(AA34="",AA35=""),"",AA34+AA35)</f>
        <v>0</v>
      </c>
      <c r="AB36" s="913"/>
      <c r="AC36" s="500"/>
      <c r="AD36" s="904">
        <f>AD34+AD35</f>
        <v>0</v>
      </c>
      <c r="AE36" s="905"/>
      <c r="AF36" s="912">
        <f>AF34+AF35</f>
        <v>0</v>
      </c>
      <c r="AG36" s="913"/>
    </row>
    <row r="37" spans="1:33" ht="12" customHeight="1" thickTop="1">
      <c r="A37" s="935" t="s">
        <v>576</v>
      </c>
      <c r="B37" s="935"/>
      <c r="D37" s="494" t="s">
        <v>580</v>
      </c>
      <c r="E37" s="918">
        <v>0</v>
      </c>
      <c r="F37" s="919"/>
      <c r="G37" s="920">
        <v>0</v>
      </c>
      <c r="H37" s="921"/>
      <c r="J37" s="918">
        <v>0</v>
      </c>
      <c r="K37" s="919"/>
      <c r="L37" s="920">
        <v>0</v>
      </c>
      <c r="M37" s="921"/>
      <c r="O37" s="918">
        <v>0</v>
      </c>
      <c r="P37" s="919"/>
      <c r="Q37" s="920">
        <v>0</v>
      </c>
      <c r="R37" s="921"/>
      <c r="T37" s="918">
        <v>0</v>
      </c>
      <c r="U37" s="919"/>
      <c r="V37" s="920">
        <v>0</v>
      </c>
      <c r="W37" s="921"/>
      <c r="Y37" s="918">
        <v>0</v>
      </c>
      <c r="Z37" s="919"/>
      <c r="AA37" s="922">
        <v>0</v>
      </c>
      <c r="AB37" s="923"/>
      <c r="AD37" s="906">
        <f>IF('BP1'!$K$5&gt;4,E37+J37+O37+T37+Y37,IF('BP1'!$K$5&gt;3,E37+J37+O37+T37,IF('BP1'!$K$5&gt;2,E37+J37+O37,IF('BP1'!$K$5&gt;1,E37+J37,E37))))</f>
        <v>0</v>
      </c>
      <c r="AE37" s="907"/>
      <c r="AF37" s="910">
        <f>IF('BP1'!$K$5&gt;4,G37+L37+Q37+V37+AA37,IF('BP1'!$K$5&gt;3,G37+L37+Q37+V37,IF('BP1'!$K$5&gt;2,G37+L37+Q37,IF('BP1'!$K$5&gt;1,G37+L37,G37))))</f>
        <v>0</v>
      </c>
      <c r="AG37" s="911"/>
    </row>
    <row r="38" spans="1:33" ht="12" customHeight="1">
      <c r="A38" s="483" t="s">
        <v>578</v>
      </c>
      <c r="B38" s="484"/>
      <c r="D38" s="494" t="s">
        <v>581</v>
      </c>
      <c r="E38" s="918">
        <v>0</v>
      </c>
      <c r="F38" s="919"/>
      <c r="G38" s="920">
        <v>0</v>
      </c>
      <c r="H38" s="921"/>
      <c r="J38" s="918">
        <v>0</v>
      </c>
      <c r="K38" s="919"/>
      <c r="L38" s="920">
        <v>0</v>
      </c>
      <c r="M38" s="921"/>
      <c r="O38" s="918">
        <v>0</v>
      </c>
      <c r="P38" s="919"/>
      <c r="Q38" s="920">
        <v>0</v>
      </c>
      <c r="R38" s="921"/>
      <c r="T38" s="918">
        <v>0</v>
      </c>
      <c r="U38" s="919"/>
      <c r="V38" s="920">
        <v>0</v>
      </c>
      <c r="W38" s="921"/>
      <c r="Y38" s="918">
        <v>0</v>
      </c>
      <c r="Z38" s="919"/>
      <c r="AA38" s="920">
        <v>0</v>
      </c>
      <c r="AB38" s="921"/>
      <c r="AD38" s="902">
        <f>IF('BP1'!$K$5&gt;4,E38+J38+O38+T38+Y38,IF('BP1'!$K$5&gt;3,E38+J38+O38+T38,IF('BP1'!$K$5&gt;2,E38+J38+O38,IF('BP1'!$K$5&gt;1,E38+J38,E38))))</f>
        <v>0</v>
      </c>
      <c r="AE38" s="903"/>
      <c r="AF38" s="908">
        <f>IF('BP1'!$K$5&gt;4,G38+L38+Q38+V38+AA38,IF('BP1'!$K$5&gt;3,G38+L38+Q38+V38,IF('BP1'!$K$5&gt;2,G38+L38+Q38,IF('BP1'!$K$5&gt;1,G38+L38,G38))))</f>
        <v>0</v>
      </c>
      <c r="AG38" s="909"/>
    </row>
    <row r="39" spans="1:33" ht="12" customHeight="1" thickBot="1">
      <c r="A39" s="498" t="s">
        <v>579</v>
      </c>
      <c r="B39" s="499"/>
      <c r="C39" s="500"/>
      <c r="D39" s="501" t="s">
        <v>97</v>
      </c>
      <c r="E39" s="904">
        <f>E37+E38</f>
        <v>0</v>
      </c>
      <c r="F39" s="905"/>
      <c r="G39" s="912">
        <f>G37+G38</f>
        <v>0</v>
      </c>
      <c r="H39" s="913"/>
      <c r="I39" s="500"/>
      <c r="J39" s="904">
        <f>J37+J38</f>
        <v>0</v>
      </c>
      <c r="K39" s="905"/>
      <c r="L39" s="912">
        <f>IF(AND(L37="",L38=""),"",L37+L38)</f>
        <v>0</v>
      </c>
      <c r="M39" s="913"/>
      <c r="N39" s="500"/>
      <c r="O39" s="904">
        <f>O37+O38</f>
        <v>0</v>
      </c>
      <c r="P39" s="905"/>
      <c r="Q39" s="912">
        <f>IF(AND(Q37="",Q38=""),"",Q37+Q38)</f>
        <v>0</v>
      </c>
      <c r="R39" s="913"/>
      <c r="S39" s="500"/>
      <c r="T39" s="904">
        <f>T37+T38</f>
        <v>0</v>
      </c>
      <c r="U39" s="905"/>
      <c r="V39" s="912">
        <f>IF(AND(V37="",V38=""),"",V37+V38)</f>
        <v>0</v>
      </c>
      <c r="W39" s="913"/>
      <c r="X39" s="500"/>
      <c r="Y39" s="904">
        <f>Y37+Y38</f>
        <v>0</v>
      </c>
      <c r="Z39" s="905"/>
      <c r="AA39" s="912">
        <f>IF(AND(AA37="",AA38=""),"",AA37+AA38)</f>
        <v>0</v>
      </c>
      <c r="AB39" s="913"/>
      <c r="AC39" s="500"/>
      <c r="AD39" s="904">
        <f>AD37+AD38</f>
        <v>0</v>
      </c>
      <c r="AE39" s="905"/>
      <c r="AF39" s="912">
        <f>AF37+AF38</f>
        <v>0</v>
      </c>
      <c r="AG39" s="913"/>
    </row>
    <row r="40" spans="1:33" ht="12" customHeight="1" thickTop="1">
      <c r="A40" s="935" t="s">
        <v>577</v>
      </c>
      <c r="B40" s="935"/>
      <c r="D40" s="494" t="s">
        <v>580</v>
      </c>
      <c r="E40" s="918">
        <v>0</v>
      </c>
      <c r="F40" s="919"/>
      <c r="G40" s="920">
        <v>0</v>
      </c>
      <c r="H40" s="921"/>
      <c r="J40" s="918">
        <v>0</v>
      </c>
      <c r="K40" s="919"/>
      <c r="L40" s="920">
        <v>0</v>
      </c>
      <c r="M40" s="921"/>
      <c r="O40" s="918">
        <v>0</v>
      </c>
      <c r="P40" s="919"/>
      <c r="Q40" s="920">
        <v>0</v>
      </c>
      <c r="R40" s="921"/>
      <c r="T40" s="918">
        <v>0</v>
      </c>
      <c r="U40" s="919"/>
      <c r="V40" s="920">
        <v>0</v>
      </c>
      <c r="W40" s="921"/>
      <c r="Y40" s="918">
        <v>0</v>
      </c>
      <c r="Z40" s="919"/>
      <c r="AA40" s="922">
        <v>0</v>
      </c>
      <c r="AB40" s="923"/>
      <c r="AD40" s="906">
        <f>IF('BP1'!$K$5&gt;4,E40+J40+O40+T40+Y40,IF('BP1'!$K$5&gt;3,E40+J40+O40+T40,IF('BP1'!$K$5&gt;2,E40+J40+O40,IF('BP1'!$K$5&gt;1,E40+J40,E40))))</f>
        <v>0</v>
      </c>
      <c r="AE40" s="907"/>
      <c r="AF40" s="910">
        <f>IF('BP1'!$K$5&gt;4,G40+L40+Q40+V40+AA40,IF('BP1'!$K$5&gt;3,G40+L40+Q40+V40,IF('BP1'!$K$5&gt;2,G40+L40+Q40,IF('BP1'!$K$5&gt;1,G40+L40,G40))))</f>
        <v>0</v>
      </c>
      <c r="AG40" s="911"/>
    </row>
    <row r="41" spans="1:33" ht="12" customHeight="1">
      <c r="A41" s="483" t="s">
        <v>578</v>
      </c>
      <c r="B41" s="484"/>
      <c r="D41" s="494" t="s">
        <v>581</v>
      </c>
      <c r="E41" s="918">
        <v>0</v>
      </c>
      <c r="F41" s="919"/>
      <c r="G41" s="920">
        <v>0</v>
      </c>
      <c r="H41" s="921"/>
      <c r="J41" s="918">
        <v>0</v>
      </c>
      <c r="K41" s="919"/>
      <c r="L41" s="920">
        <v>0</v>
      </c>
      <c r="M41" s="921"/>
      <c r="O41" s="918">
        <v>0</v>
      </c>
      <c r="P41" s="919"/>
      <c r="Q41" s="920">
        <v>0</v>
      </c>
      <c r="R41" s="921"/>
      <c r="T41" s="918">
        <v>0</v>
      </c>
      <c r="U41" s="919"/>
      <c r="V41" s="920">
        <v>0</v>
      </c>
      <c r="W41" s="921"/>
      <c r="Y41" s="918">
        <v>0</v>
      </c>
      <c r="Z41" s="919"/>
      <c r="AA41" s="920">
        <v>0</v>
      </c>
      <c r="AB41" s="921"/>
      <c r="AD41" s="902">
        <f>IF('BP1'!$K$5&gt;4,E41+J41+O41+T41+Y41,IF('BP1'!$K$5&gt;3,E41+J41+O41+T41,IF('BP1'!$K$5&gt;2,E41+J41+O41,IF('BP1'!$K$5&gt;1,E41+J41,E41))))</f>
        <v>0</v>
      </c>
      <c r="AE41" s="903"/>
      <c r="AF41" s="908">
        <f>IF('BP1'!$K$5&gt;4,G41+L41+Q41+V41+AA41,IF('BP1'!$K$5&gt;3,G41+L41+Q41+V41,IF('BP1'!$K$5&gt;2,G41+L41+Q41,IF('BP1'!$K$5&gt;1,G41+L41,G41))))</f>
        <v>0</v>
      </c>
      <c r="AG41" s="909"/>
    </row>
    <row r="42" spans="1:33" ht="12" customHeight="1">
      <c r="A42" s="483" t="s">
        <v>579</v>
      </c>
      <c r="B42" s="484"/>
      <c r="D42" s="494" t="s">
        <v>97</v>
      </c>
      <c r="E42" s="916">
        <f>E40+E41</f>
        <v>0</v>
      </c>
      <c r="F42" s="917"/>
      <c r="G42" s="925">
        <f>G40+G41</f>
        <v>0</v>
      </c>
      <c r="H42" s="926"/>
      <c r="J42" s="916">
        <f>J40+J41</f>
        <v>0</v>
      </c>
      <c r="K42" s="917"/>
      <c r="L42" s="925">
        <f>IF(AND(L40="",L41=""),"",L40+L41)</f>
        <v>0</v>
      </c>
      <c r="M42" s="926"/>
      <c r="O42" s="916">
        <f>O40+O41</f>
        <v>0</v>
      </c>
      <c r="P42" s="917"/>
      <c r="Q42" s="925">
        <f>IF(AND(Q40="",Q41=""),"",Q40+Q41)</f>
        <v>0</v>
      </c>
      <c r="R42" s="926"/>
      <c r="T42" s="916">
        <f>T40+T41</f>
        <v>0</v>
      </c>
      <c r="U42" s="917"/>
      <c r="V42" s="925">
        <f>IF(AND(V40="",V41=""),"",V40+V41)</f>
        <v>0</v>
      </c>
      <c r="W42" s="926"/>
      <c r="Y42" s="916">
        <f>Y40+Y41</f>
        <v>0</v>
      </c>
      <c r="Z42" s="917"/>
      <c r="AA42" s="925">
        <f>IF(AND(AA40="",AA41=""),"",AA40+AA41)</f>
        <v>0</v>
      </c>
      <c r="AB42" s="926"/>
      <c r="AD42" s="916">
        <f>AD40+AD41</f>
        <v>0</v>
      </c>
      <c r="AE42" s="917"/>
      <c r="AF42" s="925">
        <f>AF40+AF41</f>
        <v>0</v>
      </c>
      <c r="AG42" s="926"/>
    </row>
    <row r="43" spans="1:33" ht="5.25" customHeight="1">
      <c r="A43" s="491"/>
      <c r="B43" s="492"/>
      <c r="E43" s="493"/>
      <c r="F43" s="493"/>
      <c r="G43" s="493"/>
      <c r="H43" s="493"/>
      <c r="J43" s="493"/>
      <c r="K43" s="493"/>
      <c r="L43" s="493"/>
      <c r="M43" s="493"/>
      <c r="O43" s="493"/>
      <c r="P43" s="493"/>
      <c r="Q43" s="493"/>
      <c r="R43" s="493"/>
      <c r="T43" s="493"/>
      <c r="U43" s="493"/>
      <c r="V43" s="493"/>
      <c r="W43" s="493"/>
      <c r="Y43" s="493"/>
      <c r="Z43" s="493"/>
      <c r="AA43" s="493"/>
      <c r="AB43" s="493"/>
      <c r="AD43" s="493"/>
      <c r="AE43" s="493"/>
      <c r="AF43" s="493"/>
      <c r="AG43" s="493"/>
    </row>
    <row r="44" spans="1:33" ht="12" customHeight="1">
      <c r="A44" s="927" t="s">
        <v>588</v>
      </c>
      <c r="B44" s="927"/>
      <c r="D44" s="494" t="s">
        <v>580</v>
      </c>
      <c r="E44" s="902">
        <f>E7+E10+E13+E16+E19+E22+E25+E28+E31+E34+E37+E40</f>
        <v>0</v>
      </c>
      <c r="F44" s="903"/>
      <c r="G44" s="908">
        <f>G7+G10+G13+G16+G19+G22+G25+G28+G31+G34+G37+G40</f>
        <v>0</v>
      </c>
      <c r="H44" s="909"/>
      <c r="J44" s="902">
        <f>IF(J7="",0,J7)+IF(J10="",0,J10)+IF(J13="",0,J13)+IF(J16="",0,J16)+IF(J19="",0,J19)+IF(J22="",0,J22)+IF(J25="",0,J25)+IF(J28="",0,J28)+IF(J31="",0,J31)+IF(J34="",0,J34)+IF(J37="",0,J37)+IF(J40="",0,J40)</f>
        <v>0</v>
      </c>
      <c r="K44" s="903"/>
      <c r="L44" s="908">
        <f>IF(L7="",0,L7)+IF(L10="",0,L10)+IF(L13="",0,L13)+IF(L16="",0,L16)+IF(L19="",0,L19)+IF(L22="",0,L22)+IF(L25="",0,L25)+IF(L28="",0,L28)+IF(L31="",0,L31)+IF(L34="",0,L34)+IF(L37="",0,L37)+IF(L40="",0,L40)</f>
        <v>0</v>
      </c>
      <c r="M44" s="909"/>
      <c r="O44" s="902">
        <f>IF(O7="",0,O7)+IF(O10="",0,O10)+IF(O13="",0,O13)+IF(O16="",0,O16)+IF(O19="",0,O19)+IF(O22="",0,O22)+IF(O25="",0,O25)+IF(O28="",0,O28)+IF(O31="",0,O31)+IF(O34="",0,O34)+IF(O37="",0,O37)+IF(O40="",0,O40)</f>
        <v>0</v>
      </c>
      <c r="P44" s="903"/>
      <c r="Q44" s="908">
        <f>IF(Q7="",0,Q7)+IF(Q10="",0,Q10)+IF(Q13="",0,Q13)+IF(Q16="",0,Q16)+IF(Q19="",0,Q19)+IF(Q22="",0,Q22)+IF(Q25="",0,Q25)+IF(Q28="",0,Q28)+IF(Q31="",0,Q31)+IF(Q34="",0,Q34)+IF(Q37="",0,Q37)+IF(Q40="",0,Q40)</f>
        <v>0</v>
      </c>
      <c r="R44" s="909"/>
      <c r="T44" s="902">
        <f>IF(T7="",0,T7)+IF(T10="",0,T10)+IF(T13="",0,T13)+IF(T16="",0,T16)+IF(T19="",0,T19)+IF(T22="",0,T22)+IF(T25="",0,T25)+IF(T28="",0,T28)+IF(T31="",0,T31)+IF(T34="",0,T34)+IF(T37="",0,T37)+IF(T40="",0,T40)</f>
        <v>0</v>
      </c>
      <c r="U44" s="903"/>
      <c r="V44" s="908">
        <f>IF(V7="",0,V7)+IF(V10="",0,V10)+IF(V13="",0,V13)+IF(V16="",0,V16)+IF(V19="",0,V19)+IF(V22="",0,V22)+IF(V25="",0,V25)+IF(V28="",0,V28)+IF(V31="",0,V31)+IF(V34="",0,V34)+IF(V37="",0,V37)+IF(V40="",0,V40)</f>
        <v>0</v>
      </c>
      <c r="W44" s="909"/>
      <c r="Y44" s="902">
        <f>IF(Y7="",0,Y7)+IF(Y10="",0,Y10)+IF(Y13="",0,Y13)+IF(Y16="",0,Y16)+IF(Y19="",0,Y19)+IF(Y22="",0,Y22)+IF(Y25="",0,Y25)+IF(Y28="",0,Y28)+IF(Y31="",0,Y31)+IF(Y34="",0,Y34)+IF(Y37="",0,Y37)+IF(Y40="",0,Y40)</f>
        <v>0</v>
      </c>
      <c r="Z44" s="903"/>
      <c r="AA44" s="908">
        <f>IF(AA7="",0,AA7)+IF(AA10="",0,AA10)+IF(AA13="",0,AA13)+IF(AA16="",0,AA16)+IF(AA19="",0,AA19)+IF(AA22="",0,AA22)+IF(AA25="",0,AA25)+IF(AA28="",0,AA28)+IF(AA31="",0,AA31)+IF(AA34="",0,AA34)+IF(AA37="",0,AA37)+IF(AA40="",0,AA40)</f>
        <v>0</v>
      </c>
      <c r="AB44" s="909"/>
      <c r="AD44" s="902">
        <f>IF(AD7="",0,AD7)+IF(AD10="",0,AD10)+IF(AD13="",0,AD13)+IF(AD16="",0,AD16)+IF(AD19="",0,AD19)+IF(AD22="",0,AD22)+IF(AD25="",0,AD25)+IF(AD28="",0,AD28)+IF(AD31="",0,AD31)+IF(AD34="",0,AD34)+IF(AD37="",0,AD37)+IF(AD40="",0,AD40)</f>
        <v>0</v>
      </c>
      <c r="AE44" s="903"/>
      <c r="AF44" s="908">
        <f>IF(AF7="",0,AF7)+IF(AF10="",0,AF10)+IF(AF13="",0,AF13)+IF(AF16="",0,AF16)+IF(AF19="",0,AF19)+IF(AF22="",0,AF22)+IF(AF25="",0,AF25)+IF(AF28="",0,AF28)+IF(AF31="",0,AF31)+IF(AF34="",0,AF34)+IF(AF37="",0,AF37)+IF(AF40="",0,AF40)</f>
        <v>0</v>
      </c>
      <c r="AG44" s="909"/>
    </row>
    <row r="45" spans="1:33" ht="12" customHeight="1">
      <c r="A45" s="927"/>
      <c r="B45" s="927"/>
      <c r="D45" s="494" t="s">
        <v>581</v>
      </c>
      <c r="E45" s="902">
        <f>E8+E11+E14+E17+E20+E23+E26+E29+E32+E35+E38+E41</f>
        <v>0</v>
      </c>
      <c r="F45" s="903"/>
      <c r="G45" s="908">
        <f>G8+G11+G14+G17+G20+G23+G26+G29+G32+G35+G38+G41</f>
        <v>0</v>
      </c>
      <c r="H45" s="909"/>
      <c r="J45" s="902">
        <f>IF(J8="",0,J8)+IF(J11="",0,J11)+IF(J14="",0,J14)+IF(J17="",0,J17)+IF(J20="",0,J20)+IF(J23="",0,J23)+IF(J26="",0,J26)+IF(J29="",0,J29)+IF(J32="",0,J32)+IF(J35="",0,J35)+IF(J38="",0,J38)+IF(J41="",0,J41)</f>
        <v>0</v>
      </c>
      <c r="K45" s="903"/>
      <c r="L45" s="908">
        <f>IF(L8="",0,L8)+IF(L11="",0,L11)+IF(L14="",0,L14)+IF(L17="",0,L17)+IF(L20="",0,L20)+IF(L23="",0,L23)+IF(L26="",0,L26)+IF(L29="",0,L29)+IF(L32="",0,L32)+IF(L35="",0,L35)+IF(L38="",0,L38)+IF(L41="",0,L41)</f>
        <v>0</v>
      </c>
      <c r="M45" s="909"/>
      <c r="O45" s="902">
        <f>IF(O8="",0,O8)+IF(O11="",0,O11)+IF(O14="",0,O14)+IF(O17="",0,O17)+IF(O20="",0,O20)+IF(O23="",0,O23)+IF(O26="",0,O26)+IF(O29="",0,O29)+IF(O32="",0,O32)+IF(O35="",0,O35)+IF(O38="",0,O38)+IF(O41="",0,O41)</f>
        <v>0</v>
      </c>
      <c r="P45" s="903"/>
      <c r="Q45" s="908">
        <f>IF(Q8="",0,Q8)+IF(Q11="",0,Q11)+IF(Q14="",0,Q14)+IF(Q17="",0,Q17)+IF(Q20="",0,Q20)+IF(Q23="",0,Q23)+IF(Q26="",0,Q26)+IF(Q29="",0,Q29)+IF(Q32="",0,Q32)+IF(Q35="",0,Q35)+IF(Q38="",0,Q38)+IF(Q41="",0,Q41)</f>
        <v>0</v>
      </c>
      <c r="R45" s="909"/>
      <c r="T45" s="902">
        <f>IF(T8="",0,T8)+IF(T11="",0,T11)+IF(T14="",0,T14)+IF(T17="",0,T17)+IF(T20="",0,T20)+IF(T23="",0,T23)+IF(T26="",0,T26)+IF(T29="",0,T29)+IF(T32="",0,T32)+IF(T35="",0,T35)+IF(T38="",0,T38)+IF(T41="",0,T41)</f>
        <v>0</v>
      </c>
      <c r="U45" s="903"/>
      <c r="V45" s="908">
        <f>IF(V8="",0,V8)+IF(V11="",0,V11)+IF(V14="",0,V14)+IF(V17="",0,V17)+IF(V20="",0,V20)+IF(V23="",0,V23)+IF(V26="",0,V26)+IF(V29="",0,V29)+IF(V32="",0,V32)+IF(V35="",0,V35)+IF(V38="",0,V38)+IF(V41="",0,V41)</f>
        <v>0</v>
      </c>
      <c r="W45" s="909"/>
      <c r="Y45" s="902">
        <f>IF(Y8="",0,Y8)+IF(Y11="",0,Y11)+IF(Y14="",0,Y14)+IF(Y17="",0,Y17)+IF(Y20="",0,Y20)+IF(Y23="",0,Y23)+IF(Y26="",0,Y26)+IF(Y29="",0,Y29)+IF(Y32="",0,Y32)+IF(Y35="",0,Y35)+IF(Y38="",0,Y38)+IF(Y41="",0,Y41)</f>
        <v>0</v>
      </c>
      <c r="Z45" s="903"/>
      <c r="AA45" s="908">
        <f>IF(AA8="",0,AA8)+IF(AA11="",0,AA11)+IF(AA14="",0,AA14)+IF(AA17="",0,AA17)+IF(AA20="",0,AA20)+IF(AA23="",0,AA23)+IF(AA26="",0,AA26)+IF(AA29="",0,AA29)+IF(AA32="",0,AA32)+IF(AA35="",0,AA35)+IF(AA38="",0,AA38)+IF(AA41="",0,AA41)</f>
        <v>0</v>
      </c>
      <c r="AB45" s="909"/>
      <c r="AD45" s="902">
        <f>IF(AD8="",0,AD8)+IF(AD11="",0,AD11)+IF(AD14="",0,AD14)+IF(AD17="",0,AD17)+IF(AD20="",0,AD20)+IF(AD23="",0,AD23)+IF(AD26="",0,AD26)+IF(AD29="",0,AD29)+IF(AD32="",0,AD32)+IF(AD35="",0,AD35)+IF(AD38="",0,AD38)+IF(AD41="",0,AD41)</f>
        <v>0</v>
      </c>
      <c r="AE45" s="903"/>
      <c r="AF45" s="908">
        <f>IF(AF8="",0,AF8)+IF(AF11="",0,AF11)+IF(AF14="",0,AF14)+IF(AF17="",0,AF17)+IF(AF20="",0,AF20)+IF(AF23="",0,AF23)+IF(AF26="",0,AF26)+IF(AF29="",0,AF29)+IF(AF32="",0,AF32)+IF(AF35="",0,AF35)+IF(AF38="",0,AF38)+IF(AF41="",0,AF41)</f>
        <v>0</v>
      </c>
      <c r="AG45" s="909"/>
    </row>
    <row r="46" spans="1:33" ht="12" customHeight="1">
      <c r="A46" s="927"/>
      <c r="B46" s="927"/>
      <c r="D46" s="494" t="s">
        <v>97</v>
      </c>
      <c r="E46" s="916">
        <f>E44+E45</f>
        <v>0</v>
      </c>
      <c r="F46" s="917"/>
      <c r="G46" s="925">
        <f>G44+G45</f>
        <v>0</v>
      </c>
      <c r="H46" s="926"/>
      <c r="J46" s="916">
        <f>J44+J45</f>
        <v>0</v>
      </c>
      <c r="K46" s="917"/>
      <c r="L46" s="925">
        <f>L44+L45</f>
        <v>0</v>
      </c>
      <c r="M46" s="926"/>
      <c r="O46" s="916">
        <f>O44+O45</f>
        <v>0</v>
      </c>
      <c r="P46" s="917"/>
      <c r="Q46" s="925">
        <f>Q44+Q45</f>
        <v>0</v>
      </c>
      <c r="R46" s="926"/>
      <c r="T46" s="916">
        <f>T44+T45</f>
        <v>0</v>
      </c>
      <c r="U46" s="917"/>
      <c r="V46" s="925">
        <f>V44+V45</f>
        <v>0</v>
      </c>
      <c r="W46" s="926"/>
      <c r="Y46" s="916">
        <f>Y44+Y45</f>
        <v>0</v>
      </c>
      <c r="Z46" s="917"/>
      <c r="AA46" s="925">
        <f>AA44+AA45</f>
        <v>0</v>
      </c>
      <c r="AB46" s="926"/>
      <c r="AD46" s="916">
        <f>AD44+AD45</f>
        <v>0</v>
      </c>
      <c r="AE46" s="917"/>
      <c r="AF46" s="925">
        <f>AF44+AF45</f>
        <v>0</v>
      </c>
      <c r="AG46" s="926"/>
    </row>
    <row r="47" spans="1:33" ht="14.25" customHeight="1"/>
    <row r="48" spans="1:33" ht="14.25" customHeight="1"/>
    <row r="49" ht="14.25" customHeight="1"/>
    <row r="50" ht="14.25" customHeight="1"/>
  </sheetData>
  <mergeCells count="507">
    <mergeCell ref="T45:U45"/>
    <mergeCell ref="AD44:AE44"/>
    <mergeCell ref="AD45:AE45"/>
    <mergeCell ref="AD46:AE46"/>
    <mergeCell ref="A44:B46"/>
    <mergeCell ref="A1:AG1"/>
    <mergeCell ref="A2:AG2"/>
    <mergeCell ref="A7:B7"/>
    <mergeCell ref="A10:B10"/>
    <mergeCell ref="A13:B13"/>
    <mergeCell ref="A16:B16"/>
    <mergeCell ref="A19:B19"/>
    <mergeCell ref="A22:B22"/>
    <mergeCell ref="A25:B25"/>
    <mergeCell ref="A28:B28"/>
    <mergeCell ref="A31:B31"/>
    <mergeCell ref="A34:B34"/>
    <mergeCell ref="A37:B37"/>
    <mergeCell ref="A40:B40"/>
    <mergeCell ref="Y21:Z21"/>
    <mergeCell ref="Y24:Z24"/>
    <mergeCell ref="J8:K8"/>
    <mergeCell ref="J10:K10"/>
    <mergeCell ref="J11:K11"/>
    <mergeCell ref="AF42:AG42"/>
    <mergeCell ref="G44:H44"/>
    <mergeCell ref="G45:H45"/>
    <mergeCell ref="G46:H46"/>
    <mergeCell ref="L44:M44"/>
    <mergeCell ref="L45:M45"/>
    <mergeCell ref="L46:M46"/>
    <mergeCell ref="Q44:R44"/>
    <mergeCell ref="Q45:R45"/>
    <mergeCell ref="Q46:R46"/>
    <mergeCell ref="J45:K45"/>
    <mergeCell ref="O44:P44"/>
    <mergeCell ref="O45:P45"/>
    <mergeCell ref="J44:K44"/>
    <mergeCell ref="V44:W44"/>
    <mergeCell ref="V45:W45"/>
    <mergeCell ref="V46:W46"/>
    <mergeCell ref="AA44:AB44"/>
    <mergeCell ref="AA45:AB45"/>
    <mergeCell ref="AA46:AB46"/>
    <mergeCell ref="AF44:AG44"/>
    <mergeCell ref="AF45:AG45"/>
    <mergeCell ref="AF46:AG46"/>
    <mergeCell ref="Y46:Z46"/>
    <mergeCell ref="AF37:AG37"/>
    <mergeCell ref="AF38:AG38"/>
    <mergeCell ref="AF39:AG39"/>
    <mergeCell ref="G40:H40"/>
    <mergeCell ref="G41:H41"/>
    <mergeCell ref="G42:H42"/>
    <mergeCell ref="L40:M40"/>
    <mergeCell ref="L41:M41"/>
    <mergeCell ref="L42:M42"/>
    <mergeCell ref="Q40:R40"/>
    <mergeCell ref="Q41:R41"/>
    <mergeCell ref="Q42:R42"/>
    <mergeCell ref="O40:P40"/>
    <mergeCell ref="O41:P41"/>
    <mergeCell ref="J40:K40"/>
    <mergeCell ref="J41:K41"/>
    <mergeCell ref="V40:W40"/>
    <mergeCell ref="V41:W41"/>
    <mergeCell ref="V42:W42"/>
    <mergeCell ref="AA40:AB40"/>
    <mergeCell ref="AA41:AB41"/>
    <mergeCell ref="AA42:AB42"/>
    <mergeCell ref="AF40:AG40"/>
    <mergeCell ref="AF41:AG41"/>
    <mergeCell ref="L37:M37"/>
    <mergeCell ref="L38:M38"/>
    <mergeCell ref="L39:M39"/>
    <mergeCell ref="Q37:R37"/>
    <mergeCell ref="Q38:R38"/>
    <mergeCell ref="Q39:R39"/>
    <mergeCell ref="J37:K37"/>
    <mergeCell ref="J38:K38"/>
    <mergeCell ref="V37:W37"/>
    <mergeCell ref="V38:W38"/>
    <mergeCell ref="V39:W39"/>
    <mergeCell ref="AF33:AG33"/>
    <mergeCell ref="G34:H34"/>
    <mergeCell ref="G35:H35"/>
    <mergeCell ref="G36:H36"/>
    <mergeCell ref="L34:M34"/>
    <mergeCell ref="L35:M35"/>
    <mergeCell ref="L36:M36"/>
    <mergeCell ref="Q34:R34"/>
    <mergeCell ref="Q35:R35"/>
    <mergeCell ref="Q36:R36"/>
    <mergeCell ref="V34:W34"/>
    <mergeCell ref="V35:W35"/>
    <mergeCell ref="V36:W36"/>
    <mergeCell ref="AA34:AB34"/>
    <mergeCell ref="AA35:AB35"/>
    <mergeCell ref="AA36:AB36"/>
    <mergeCell ref="AF34:AG34"/>
    <mergeCell ref="AF35:AG35"/>
    <mergeCell ref="AF36:AG36"/>
    <mergeCell ref="G33:H33"/>
    <mergeCell ref="L33:M33"/>
    <mergeCell ref="Q33:R33"/>
    <mergeCell ref="V33:W33"/>
    <mergeCell ref="AA33:AB33"/>
    <mergeCell ref="AF9:AG9"/>
    <mergeCell ref="G10:H10"/>
    <mergeCell ref="G11:H11"/>
    <mergeCell ref="AF15:AG15"/>
    <mergeCell ref="G16:H16"/>
    <mergeCell ref="AF20:AG20"/>
    <mergeCell ref="AF21:AG21"/>
    <mergeCell ref="G31:H31"/>
    <mergeCell ref="G32:H32"/>
    <mergeCell ref="L31:M31"/>
    <mergeCell ref="L32:M32"/>
    <mergeCell ref="Q31:R31"/>
    <mergeCell ref="Q32:R32"/>
    <mergeCell ref="V31:W31"/>
    <mergeCell ref="V32:W32"/>
    <mergeCell ref="AA31:AB31"/>
    <mergeCell ref="AA32:AB32"/>
    <mergeCell ref="AF31:AG31"/>
    <mergeCell ref="AF32:AG32"/>
    <mergeCell ref="V28:W28"/>
    <mergeCell ref="V29:W29"/>
    <mergeCell ref="V30:W30"/>
    <mergeCell ref="AA28:AB28"/>
    <mergeCell ref="AA29:AB29"/>
    <mergeCell ref="AF28:AG28"/>
    <mergeCell ref="AF29:AG29"/>
    <mergeCell ref="AF30:AG30"/>
    <mergeCell ref="G28:H28"/>
    <mergeCell ref="G29:H29"/>
    <mergeCell ref="G30:H30"/>
    <mergeCell ref="L28:M28"/>
    <mergeCell ref="L29:M29"/>
    <mergeCell ref="L30:M30"/>
    <mergeCell ref="Q28:R28"/>
    <mergeCell ref="Q29:R29"/>
    <mergeCell ref="Q30:R30"/>
    <mergeCell ref="T29:U29"/>
    <mergeCell ref="Y30:Z30"/>
    <mergeCell ref="J28:K28"/>
    <mergeCell ref="J29:K29"/>
    <mergeCell ref="O30:P30"/>
    <mergeCell ref="AF24:AG24"/>
    <mergeCell ref="G25:H25"/>
    <mergeCell ref="G26:H26"/>
    <mergeCell ref="G27:H27"/>
    <mergeCell ref="L25:M25"/>
    <mergeCell ref="L26:M26"/>
    <mergeCell ref="L27:M27"/>
    <mergeCell ref="Q25:R25"/>
    <mergeCell ref="Q26:R26"/>
    <mergeCell ref="Q27:R27"/>
    <mergeCell ref="V25:W25"/>
    <mergeCell ref="V26:W26"/>
    <mergeCell ref="V27:W27"/>
    <mergeCell ref="AA25:AB25"/>
    <mergeCell ref="AA26:AB26"/>
    <mergeCell ref="AA27:AB27"/>
    <mergeCell ref="AF25:AG25"/>
    <mergeCell ref="AF26:AG26"/>
    <mergeCell ref="AF27:AG27"/>
    <mergeCell ref="Y27:Z27"/>
    <mergeCell ref="AF16:AG16"/>
    <mergeCell ref="AF17:AG17"/>
    <mergeCell ref="AF18:AG18"/>
    <mergeCell ref="G19:H19"/>
    <mergeCell ref="AA19:AB19"/>
    <mergeCell ref="G22:H22"/>
    <mergeCell ref="G23:H23"/>
    <mergeCell ref="G24:H24"/>
    <mergeCell ref="L22:M22"/>
    <mergeCell ref="L23:M23"/>
    <mergeCell ref="L24:M24"/>
    <mergeCell ref="Q22:R22"/>
    <mergeCell ref="Q23:R23"/>
    <mergeCell ref="Q24:R24"/>
    <mergeCell ref="O22:P22"/>
    <mergeCell ref="O23:P23"/>
    <mergeCell ref="V22:W22"/>
    <mergeCell ref="V23:W23"/>
    <mergeCell ref="V24:W24"/>
    <mergeCell ref="AA22:AB22"/>
    <mergeCell ref="AA23:AB23"/>
    <mergeCell ref="AA24:AB24"/>
    <mergeCell ref="AF22:AG22"/>
    <mergeCell ref="AF23:AG23"/>
    <mergeCell ref="O20:P20"/>
    <mergeCell ref="T20:U20"/>
    <mergeCell ref="J18:K18"/>
    <mergeCell ref="G20:H20"/>
    <mergeCell ref="G21:H21"/>
    <mergeCell ref="L19:M19"/>
    <mergeCell ref="L20:M20"/>
    <mergeCell ref="L21:M21"/>
    <mergeCell ref="Q19:R19"/>
    <mergeCell ref="Q20:R20"/>
    <mergeCell ref="Q21:R21"/>
    <mergeCell ref="G17:H17"/>
    <mergeCell ref="G18:H18"/>
    <mergeCell ref="L16:M16"/>
    <mergeCell ref="L17:M17"/>
    <mergeCell ref="L18:M18"/>
    <mergeCell ref="Q16:R16"/>
    <mergeCell ref="Q17:R17"/>
    <mergeCell ref="Q18:R18"/>
    <mergeCell ref="V16:W16"/>
    <mergeCell ref="V17:W17"/>
    <mergeCell ref="V18:W18"/>
    <mergeCell ref="J16:K16"/>
    <mergeCell ref="J17:K17"/>
    <mergeCell ref="V10:W10"/>
    <mergeCell ref="V11:W11"/>
    <mergeCell ref="O10:P10"/>
    <mergeCell ref="O11:P11"/>
    <mergeCell ref="O13:P13"/>
    <mergeCell ref="O14:P14"/>
    <mergeCell ref="V12:W12"/>
    <mergeCell ref="J15:K15"/>
    <mergeCell ref="G15:H15"/>
    <mergeCell ref="L13:M13"/>
    <mergeCell ref="L14:M14"/>
    <mergeCell ref="L15:M15"/>
    <mergeCell ref="Q13:R13"/>
    <mergeCell ref="Q14:R14"/>
    <mergeCell ref="Q15:R15"/>
    <mergeCell ref="V13:W13"/>
    <mergeCell ref="V14:W14"/>
    <mergeCell ref="V15:W15"/>
    <mergeCell ref="G13:H13"/>
    <mergeCell ref="G14:H14"/>
    <mergeCell ref="J13:K13"/>
    <mergeCell ref="J14:K14"/>
    <mergeCell ref="E5:H5"/>
    <mergeCell ref="J5:M5"/>
    <mergeCell ref="O5:R5"/>
    <mergeCell ref="T5:W5"/>
    <mergeCell ref="Y5:AB5"/>
    <mergeCell ref="J6:K6"/>
    <mergeCell ref="L6:M6"/>
    <mergeCell ref="J7:K7"/>
    <mergeCell ref="E6:F6"/>
    <mergeCell ref="G6:H6"/>
    <mergeCell ref="O6:P6"/>
    <mergeCell ref="Q6:R6"/>
    <mergeCell ref="O7:P7"/>
    <mergeCell ref="T6:U6"/>
    <mergeCell ref="V6:W6"/>
    <mergeCell ref="G7:H7"/>
    <mergeCell ref="L7:M7"/>
    <mergeCell ref="Q7:R7"/>
    <mergeCell ref="Y6:Z6"/>
    <mergeCell ref="AA6:AB6"/>
    <mergeCell ref="Y7:Z7"/>
    <mergeCell ref="E7:F7"/>
    <mergeCell ref="AD41:AE41"/>
    <mergeCell ref="AD42:AE42"/>
    <mergeCell ref="AD32:AE32"/>
    <mergeCell ref="AD33:AE33"/>
    <mergeCell ref="V7:W7"/>
    <mergeCell ref="V8:W8"/>
    <mergeCell ref="V9:W9"/>
    <mergeCell ref="AA7:AB7"/>
    <mergeCell ref="AA8:AB8"/>
    <mergeCell ref="AA9:AB9"/>
    <mergeCell ref="AA15:AB15"/>
    <mergeCell ref="AA10:AB10"/>
    <mergeCell ref="AA11:AB11"/>
    <mergeCell ref="AA12:AB12"/>
    <mergeCell ref="AA13:AB13"/>
    <mergeCell ref="AA14:AB14"/>
    <mergeCell ref="AA20:AB20"/>
    <mergeCell ref="AA21:AB21"/>
    <mergeCell ref="V19:W19"/>
    <mergeCell ref="V20:W20"/>
    <mergeCell ref="V21:W21"/>
    <mergeCell ref="AA16:AB16"/>
    <mergeCell ref="AA17:AB17"/>
    <mergeCell ref="AA18:AB18"/>
    <mergeCell ref="Y8:Z8"/>
    <mergeCell ref="Y10:Z10"/>
    <mergeCell ref="Y11:Z11"/>
    <mergeCell ref="Y13:Z13"/>
    <mergeCell ref="AD40:AE40"/>
    <mergeCell ref="AD28:AE28"/>
    <mergeCell ref="AD31:AE31"/>
    <mergeCell ref="AD34:AE34"/>
    <mergeCell ref="AA30:AB30"/>
    <mergeCell ref="AA37:AB37"/>
    <mergeCell ref="AA38:AB38"/>
    <mergeCell ref="AA39:AB39"/>
    <mergeCell ref="AD35:AE35"/>
    <mergeCell ref="AD36:AE36"/>
    <mergeCell ref="AD38:AE38"/>
    <mergeCell ref="AD39:AE39"/>
    <mergeCell ref="AD23:AE23"/>
    <mergeCell ref="AD24:AE24"/>
    <mergeCell ref="AD26:AE26"/>
    <mergeCell ref="AD27:AE27"/>
    <mergeCell ref="AD29:AE29"/>
    <mergeCell ref="AD30:AE30"/>
    <mergeCell ref="E10:F10"/>
    <mergeCell ref="E13:F13"/>
    <mergeCell ref="E16:F16"/>
    <mergeCell ref="E19:F19"/>
    <mergeCell ref="E22:F22"/>
    <mergeCell ref="Y33:Z33"/>
    <mergeCell ref="Y36:Z36"/>
    <mergeCell ref="Y39:Z39"/>
    <mergeCell ref="Y9:Z9"/>
    <mergeCell ref="Y12:Z12"/>
    <mergeCell ref="Y15:Z15"/>
    <mergeCell ref="Y18:Z18"/>
    <mergeCell ref="J35:K35"/>
    <mergeCell ref="J19:K19"/>
    <mergeCell ref="J20:K20"/>
    <mergeCell ref="J22:K22"/>
    <mergeCell ref="J23:K23"/>
    <mergeCell ref="J25:K25"/>
    <mergeCell ref="J26:K26"/>
    <mergeCell ref="J21:K21"/>
    <mergeCell ref="T14:U14"/>
    <mergeCell ref="T16:U16"/>
    <mergeCell ref="T17:U17"/>
    <mergeCell ref="T19:U19"/>
    <mergeCell ref="O8:P8"/>
    <mergeCell ref="G8:H8"/>
    <mergeCell ref="G9:H9"/>
    <mergeCell ref="L8:M8"/>
    <mergeCell ref="L9:M9"/>
    <mergeCell ref="Q8:R8"/>
    <mergeCell ref="Q9:R9"/>
    <mergeCell ref="G12:H12"/>
    <mergeCell ref="L10:M10"/>
    <mergeCell ref="L11:M11"/>
    <mergeCell ref="L12:M12"/>
    <mergeCell ref="Q10:R10"/>
    <mergeCell ref="Q11:R11"/>
    <mergeCell ref="Q12:R12"/>
    <mergeCell ref="E45:F45"/>
    <mergeCell ref="E26:F26"/>
    <mergeCell ref="E29:F29"/>
    <mergeCell ref="E32:F32"/>
    <mergeCell ref="E35:F35"/>
    <mergeCell ref="E38:F38"/>
    <mergeCell ref="E41:F41"/>
    <mergeCell ref="E8:F8"/>
    <mergeCell ref="E11:F11"/>
    <mergeCell ref="E14:F14"/>
    <mergeCell ref="E17:F17"/>
    <mergeCell ref="E20:F20"/>
    <mergeCell ref="E23:F23"/>
    <mergeCell ref="E25:F25"/>
    <mergeCell ref="E28:F28"/>
    <mergeCell ref="E31:F31"/>
    <mergeCell ref="E30:F30"/>
    <mergeCell ref="E33:F33"/>
    <mergeCell ref="E36:F36"/>
    <mergeCell ref="E39:F39"/>
    <mergeCell ref="E42:F42"/>
    <mergeCell ref="E34:F34"/>
    <mergeCell ref="E37:F37"/>
    <mergeCell ref="E40:F40"/>
    <mergeCell ref="E44:F44"/>
    <mergeCell ref="G37:H37"/>
    <mergeCell ref="G38:H38"/>
    <mergeCell ref="G39:H39"/>
    <mergeCell ref="T7:U7"/>
    <mergeCell ref="T8:U8"/>
    <mergeCell ref="T10:U10"/>
    <mergeCell ref="T11:U11"/>
    <mergeCell ref="T13:U13"/>
    <mergeCell ref="O34:P34"/>
    <mergeCell ref="O35:P35"/>
    <mergeCell ref="O37:P37"/>
    <mergeCell ref="O38:P38"/>
    <mergeCell ref="O25:P25"/>
    <mergeCell ref="O26:P26"/>
    <mergeCell ref="O28:P28"/>
    <mergeCell ref="O29:P29"/>
    <mergeCell ref="O31:P31"/>
    <mergeCell ref="O32:P32"/>
    <mergeCell ref="O16:P16"/>
    <mergeCell ref="O17:P17"/>
    <mergeCell ref="O19:P19"/>
    <mergeCell ref="T31:U31"/>
    <mergeCell ref="T32:U32"/>
    <mergeCell ref="T22:U22"/>
    <mergeCell ref="T23:U23"/>
    <mergeCell ref="Y16:Z16"/>
    <mergeCell ref="Y17:Z17"/>
    <mergeCell ref="Y19:Z19"/>
    <mergeCell ref="Y20:Z20"/>
    <mergeCell ref="Y22:Z22"/>
    <mergeCell ref="Y23:Z23"/>
    <mergeCell ref="T44:U44"/>
    <mergeCell ref="T34:U34"/>
    <mergeCell ref="T35:U35"/>
    <mergeCell ref="T37:U37"/>
    <mergeCell ref="T38:U38"/>
    <mergeCell ref="T40:U40"/>
    <mergeCell ref="T41:U41"/>
    <mergeCell ref="T25:U25"/>
    <mergeCell ref="T26:U26"/>
    <mergeCell ref="T28:U28"/>
    <mergeCell ref="Y42:Z42"/>
    <mergeCell ref="E46:F46"/>
    <mergeCell ref="Y44:Z44"/>
    <mergeCell ref="Y45:Z45"/>
    <mergeCell ref="E9:F9"/>
    <mergeCell ref="E12:F12"/>
    <mergeCell ref="E15:F15"/>
    <mergeCell ref="E18:F18"/>
    <mergeCell ref="E21:F21"/>
    <mergeCell ref="E24:F24"/>
    <mergeCell ref="E27:F27"/>
    <mergeCell ref="Y34:Z34"/>
    <mergeCell ref="Y35:Z35"/>
    <mergeCell ref="Y37:Z37"/>
    <mergeCell ref="Y38:Z38"/>
    <mergeCell ref="Y40:Z40"/>
    <mergeCell ref="Y41:Z41"/>
    <mergeCell ref="Y25:Z25"/>
    <mergeCell ref="Y26:Z26"/>
    <mergeCell ref="Y28:Z28"/>
    <mergeCell ref="Y29:Z29"/>
    <mergeCell ref="Y31:Z31"/>
    <mergeCell ref="Y32:Z32"/>
    <mergeCell ref="Y14:Z14"/>
    <mergeCell ref="J12:K12"/>
    <mergeCell ref="O33:P33"/>
    <mergeCell ref="O36:P36"/>
    <mergeCell ref="O39:P39"/>
    <mergeCell ref="O42:P42"/>
    <mergeCell ref="O46:P46"/>
    <mergeCell ref="J42:K42"/>
    <mergeCell ref="J46:K46"/>
    <mergeCell ref="O9:P9"/>
    <mergeCell ref="O12:P12"/>
    <mergeCell ref="O15:P15"/>
    <mergeCell ref="O18:P18"/>
    <mergeCell ref="O21:P21"/>
    <mergeCell ref="O24:P24"/>
    <mergeCell ref="O27:P27"/>
    <mergeCell ref="J24:K24"/>
    <mergeCell ref="J27:K27"/>
    <mergeCell ref="J30:K30"/>
    <mergeCell ref="J33:K33"/>
    <mergeCell ref="J36:K36"/>
    <mergeCell ref="J39:K39"/>
    <mergeCell ref="J9:K9"/>
    <mergeCell ref="J31:K31"/>
    <mergeCell ref="J32:K32"/>
    <mergeCell ref="J34:K34"/>
    <mergeCell ref="Y4:AB4"/>
    <mergeCell ref="AD6:AE6"/>
    <mergeCell ref="AD7:AE7"/>
    <mergeCell ref="AD10:AE10"/>
    <mergeCell ref="AD13:AE13"/>
    <mergeCell ref="AD16:AE16"/>
    <mergeCell ref="T42:U42"/>
    <mergeCell ref="T46:U46"/>
    <mergeCell ref="E4:H4"/>
    <mergeCell ref="J4:M4"/>
    <mergeCell ref="O4:R4"/>
    <mergeCell ref="T4:W4"/>
    <mergeCell ref="T24:U24"/>
    <mergeCell ref="T27:U27"/>
    <mergeCell ref="T30:U30"/>
    <mergeCell ref="T33:U33"/>
    <mergeCell ref="T36:U36"/>
    <mergeCell ref="T39:U39"/>
    <mergeCell ref="T9:U9"/>
    <mergeCell ref="T12:U12"/>
    <mergeCell ref="T15:U15"/>
    <mergeCell ref="T18:U18"/>
    <mergeCell ref="T21:U21"/>
    <mergeCell ref="AD37:AE37"/>
    <mergeCell ref="AD4:AG4"/>
    <mergeCell ref="AF6:AG6"/>
    <mergeCell ref="AD8:AE8"/>
    <mergeCell ref="AD9:AE9"/>
    <mergeCell ref="AD11:AE11"/>
    <mergeCell ref="AD12:AE12"/>
    <mergeCell ref="AD19:AE19"/>
    <mergeCell ref="AD22:AE22"/>
    <mergeCell ref="AD25:AE25"/>
    <mergeCell ref="AD14:AE14"/>
    <mergeCell ref="AD15:AE15"/>
    <mergeCell ref="AD17:AE17"/>
    <mergeCell ref="AD18:AE18"/>
    <mergeCell ref="AD20:AE20"/>
    <mergeCell ref="AD21:AE21"/>
    <mergeCell ref="AD5:AG5"/>
    <mergeCell ref="AF7:AG7"/>
    <mergeCell ref="AF8:AG8"/>
    <mergeCell ref="AF13:AG13"/>
    <mergeCell ref="AF14:AG14"/>
    <mergeCell ref="AF10:AG10"/>
    <mergeCell ref="AF11:AG11"/>
    <mergeCell ref="AF12:AG12"/>
    <mergeCell ref="AF19:AG19"/>
  </mergeCells>
  <pageMargins left="0.25" right="0.25" top="0.75" bottom="0.75" header="0.3" footer="0.3"/>
  <pageSetup scale="75" orientation="landscape" r:id="rId1"/>
  <ignoredErrors>
    <ignoredError sqref="F8:I8 E43:AG46 F7 H7:I7 AC9 AC13 AC8:AG8 AC11 AC14 AC17 AC20 AC23 AC26 AC29 AC32 AC35 AC38 AC41 AC10 AC12 AC15:AC16 AC18:AC19 AC21:AC22 AC24:AC25 AC27:AC28 AC30:AC31 AC33:AC34 AC36:AC37 AC39:AC40 AB41 X8 S8 N8 N7 S7 X7 AB40 AC7:AG7 AA42:AC42 V42:X42 Q42:S42 L42:N42 E42:I42 E39:I39 E36:I36 E33:I33 E30:I30 E27:I27 E24:I24 E21:I21 E18:I18 E15:I15 E12:I12 F9:I9 E10:Z11 E9 J9:K9 E13:Z14 J12:K12 E16:Z17 J15:K15 E19:Z20 J18:K18 E22:Z23 J21:K21 E25:Z26 J24:K24 E28:Z29 J27:K27 E31:Z32 J30:K30 E34:Z35 J33:K33 E37:Z38 J36:K36 E40:Z41 J39:K39 J42:K42 O42:P42 T42:U42 Y42:Z42 O9:P9 O12:P12 O15:P15 O18:P18 O21:P21 O24:P24 O27:P27 O30:P30 O33:P33 O36:P36 O39:P39 T9:U9 T12:U12 T15:U15 T18:U18 T21:U21 T24:U24 T27:U27 T30:U30 T33:U33 T36:U36 T39:U39 Y9:Z9 Y12:Z12 Y15:Z15 Y18:Z18 Y21:Z21 Y24:Z24 Y27:Z27 Y30:Z30 Y33:Z33 Y36:Z36 Y39:Z39" unlockedFormula="1"/>
    <ignoredError sqref="AD9:AG42 AB11 AB14 AB17 AB20 AB23 AB26 AB29 AB32 AB35 AB38 AB10 AA9:AB9 AA12:AB12 AA15:AB15 AB13 AA18:AB18 AA21:AB21 AA24:AB24 AA27:AB27 AA30:AB30 AA33:AB33 AA36:AB36 AA39:AB39 AB16 AB19 AB22 AB25 AB28 AB31 AB34 AB37 V39:X39 V36:X36 V33:X33 V30:X30 V27:X27 V24:X24 V21:X21 V18:X18 V15:X15 V12:X12 V9:X9 Q39:S39 Q36:S36 Q33:S33 Q30:S30 Q27:S27 Q24:S24 Q21:S21 Q18:S18 Q15:S15 Q12:S12 Q9:S9 L39:N39 L36:N36 L33:N33 L30:N30 L27:N27 L24:N24 L21:N21 L18:N18 L15:N15 L12:N12 L9:N9" formula="1" unlockedFormula="1"/>
  </ignoredErrors>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5" tint="0.59999389629810485"/>
    <pageSetUpPr fitToPage="1"/>
  </sheetPr>
  <dimension ref="A1:AD70"/>
  <sheetViews>
    <sheetView zoomScaleNormal="100" workbookViewId="0">
      <selection activeCell="H18" sqref="H18"/>
    </sheetView>
  </sheetViews>
  <sheetFormatPr defaultColWidth="9.140625" defaultRowHeight="15"/>
  <cols>
    <col min="1" max="6" width="9.140625" style="273"/>
    <col min="7" max="7" width="2.85546875" style="273" customWidth="1"/>
    <col min="8" max="8" width="9.42578125" style="273" bestFit="1" customWidth="1"/>
    <col min="9" max="11" width="10.5703125" style="273" customWidth="1"/>
    <col min="12" max="12" width="10.28515625" style="273" bestFit="1" customWidth="1"/>
    <col min="13" max="13" width="10.5703125" style="273" bestFit="1" customWidth="1"/>
    <col min="14" max="14" width="10.5703125" style="273" customWidth="1"/>
    <col min="15" max="15" width="2.7109375" style="273" customWidth="1"/>
    <col min="16" max="16" width="3.5703125" style="273" bestFit="1" customWidth="1"/>
    <col min="17" max="20" width="9.28515625" style="273" customWidth="1"/>
    <col min="21" max="21" width="2.7109375" style="273" customWidth="1"/>
    <col min="22" max="25" width="9.28515625" style="273" customWidth="1"/>
    <col min="26" max="26" width="2.7109375" style="273" customWidth="1"/>
    <col min="27" max="30" width="9.28515625" style="273" customWidth="1"/>
    <col min="31" max="16384" width="9.140625" style="273"/>
  </cols>
  <sheetData>
    <row r="1" spans="1:30" ht="15.75" thickBot="1">
      <c r="A1" s="936" t="s">
        <v>295</v>
      </c>
      <c r="B1" s="937"/>
      <c r="C1" s="937"/>
      <c r="D1" s="937"/>
      <c r="E1" s="937"/>
      <c r="F1" s="938"/>
      <c r="G1" s="272"/>
      <c r="H1" s="936" t="s">
        <v>296</v>
      </c>
      <c r="I1" s="937"/>
      <c r="J1" s="937"/>
      <c r="K1" s="937"/>
      <c r="L1" s="937"/>
      <c r="M1" s="937"/>
      <c r="N1" s="938"/>
      <c r="O1" s="272"/>
      <c r="Q1" s="939" t="s">
        <v>297</v>
      </c>
      <c r="R1" s="940"/>
      <c r="S1" s="940"/>
      <c r="T1" s="941"/>
      <c r="V1" s="939" t="s">
        <v>298</v>
      </c>
      <c r="W1" s="940"/>
      <c r="X1" s="940"/>
      <c r="Y1" s="941"/>
      <c r="AA1" s="939" t="s">
        <v>299</v>
      </c>
      <c r="AB1" s="940"/>
      <c r="AC1" s="940"/>
      <c r="AD1" s="941"/>
    </row>
    <row r="2" spans="1:30" ht="15.75" customHeight="1" thickTop="1" thickBot="1">
      <c r="A2" s="942" t="s">
        <v>300</v>
      </c>
      <c r="B2" s="943"/>
      <c r="C2" s="943"/>
      <c r="D2" s="943"/>
      <c r="E2" s="943"/>
      <c r="F2" s="944"/>
      <c r="G2" s="274"/>
      <c r="H2" s="275" t="s">
        <v>301</v>
      </c>
      <c r="I2" s="951" t="str">
        <f>'BP1'!A11</f>
        <v>Professor McCormick</v>
      </c>
      <c r="J2" s="951"/>
      <c r="K2" s="951"/>
      <c r="M2" s="276" t="s">
        <v>302</v>
      </c>
      <c r="N2" s="277">
        <v>3</v>
      </c>
      <c r="O2" s="274"/>
      <c r="P2" s="952" t="s">
        <v>446</v>
      </c>
      <c r="Q2" s="955" t="str">
        <f>IF((VLOOKUP($P2,$H$9:$K$13,(MATCH(Q$1,$I$8:$K$8,0))+1))&gt;0,(CONCATENATE((VLOOKUP($P2,$H$9:$K$13,(MATCH(Q$1,$I$8:$K$8,0))+1)),", ",VLOOKUP((VLOOKUP($P2,$H$9:$K$13,(MATCH(Q$1,$I$8:$K$8,0))+1)),$H$17:$M$35,2,FALSE))),"No Trip")</f>
        <v>No Trip</v>
      </c>
      <c r="R2" s="956"/>
      <c r="S2" s="956"/>
      <c r="T2" s="957"/>
      <c r="U2" s="278"/>
      <c r="V2" s="955" t="str">
        <f>IF((VLOOKUP($P2,$H$9:$K$13,(MATCH(V$1,$I$8:$K$8,0))+1))&gt;0,(CONCATENATE((VLOOKUP($P2,$H$9:$K$13,(MATCH(V$1,$I$8:$K$8,0))+1)),", ",VLOOKUP((VLOOKUP($P2,$H$9:$K$13,(MATCH(V$1,$I$8:$K$8,0))+1)),$H$17:$M$35,2,FALSE))),"No Trip")</f>
        <v>No Trip</v>
      </c>
      <c r="W2" s="956"/>
      <c r="X2" s="956"/>
      <c r="Y2" s="957"/>
      <c r="Z2" s="278"/>
      <c r="AA2" s="955" t="str">
        <f>IF((VLOOKUP($P2,$H$9:$K$13,(MATCH(AA$1,$I$8:$K$8,0))+1))&gt;0,(CONCATENATE((VLOOKUP($P2,$H$9:$K$13,(MATCH(AA$1,$I$8:$K$8,0))+1)),", ",VLOOKUP((VLOOKUP($P2,$H$9:$K$13,(MATCH(AA$1,$I$8:$K$8,0))+1)),$H$17:$M$35,2,FALSE))),"No Trip")</f>
        <v>No Trip</v>
      </c>
      <c r="AB2" s="956"/>
      <c r="AC2" s="956"/>
      <c r="AD2" s="957"/>
    </row>
    <row r="3" spans="1:30" ht="15.75" customHeight="1" thickTop="1">
      <c r="A3" s="945"/>
      <c r="B3" s="946"/>
      <c r="C3" s="946"/>
      <c r="D3" s="946"/>
      <c r="E3" s="946"/>
      <c r="F3" s="947"/>
      <c r="G3" s="279"/>
      <c r="H3" s="275" t="s">
        <v>201</v>
      </c>
      <c r="I3" s="951" t="str">
        <f>IF(ISBLANK('BP1'!E9),"",'BP1'!E9)</f>
        <v/>
      </c>
      <c r="J3" s="951"/>
      <c r="K3" s="951"/>
      <c r="M3" s="276" t="s">
        <v>303</v>
      </c>
      <c r="N3" s="277">
        <v>2</v>
      </c>
      <c r="O3" s="279"/>
      <c r="P3" s="953"/>
      <c r="Q3" s="468" t="s">
        <v>302</v>
      </c>
      <c r="R3" s="480">
        <f>IF((VLOOKUP($P2,$H$9:$K$13,(MATCH(Q$1,$I$8:$K$8,0))+1))=0,,VLOOKUP(Q3,$M$2:$N$3,2,0))</f>
        <v>0</v>
      </c>
      <c r="S3" s="478" t="s">
        <v>303</v>
      </c>
      <c r="T3" s="479">
        <f>IF((VLOOKUP($P2,$H$9:$K$13,(MATCH(Q$1,$I$8:$K$8,0))+1))=0,,VLOOKUP(S3,$M$2:$N$3,2,0))</f>
        <v>0</v>
      </c>
      <c r="U3" s="280"/>
      <c r="V3" s="468" t="s">
        <v>302</v>
      </c>
      <c r="W3" s="480">
        <f>IF((VLOOKUP($P2,$H$9:$K$13,(MATCH(V$1,$I$8:$K$8,0))+1))=0,,VLOOKUP(V3,$M$2:$N$3,2,0))</f>
        <v>0</v>
      </c>
      <c r="X3" s="478" t="s">
        <v>303</v>
      </c>
      <c r="Y3" s="479">
        <f>IF((VLOOKUP($P2,$H$9:$K$13,(MATCH(V$1,$I$8:$K$8,0))+1))=0,,VLOOKUP(X3,$M$2:$N$3,2,0))</f>
        <v>0</v>
      </c>
      <c r="Z3" s="280"/>
      <c r="AA3" s="468" t="s">
        <v>302</v>
      </c>
      <c r="AB3" s="480">
        <f>IF((VLOOKUP($P2,$H$9:$K$13,(MATCH(AA$1,$I$8:$K$8,0))+1))=0,,VLOOKUP(AA3,$M$2:$N$3,2,0))</f>
        <v>0</v>
      </c>
      <c r="AC3" s="478" t="s">
        <v>303</v>
      </c>
      <c r="AD3" s="479">
        <f>IF((VLOOKUP($P2,$H$9:$K$13,(MATCH(AA$1,$I$8:$K$8,0))+1))=0,,VLOOKUP(AC3,$M$2:$N$3,2,0))</f>
        <v>0</v>
      </c>
    </row>
    <row r="4" spans="1:30" ht="15" customHeight="1" thickBot="1">
      <c r="A4" s="948"/>
      <c r="B4" s="949"/>
      <c r="C4" s="949"/>
      <c r="D4" s="949"/>
      <c r="E4" s="949"/>
      <c r="F4" s="950"/>
      <c r="G4" s="279"/>
      <c r="H4" s="275" t="s">
        <v>321</v>
      </c>
      <c r="I4" s="997" t="str">
        <f>'BP1'!A1</f>
        <v>Title</v>
      </c>
      <c r="J4" s="997"/>
      <c r="K4" s="997"/>
      <c r="L4" s="997"/>
      <c r="M4" s="276" t="s">
        <v>322</v>
      </c>
      <c r="N4" s="320">
        <v>0</v>
      </c>
      <c r="O4" s="279"/>
      <c r="P4" s="953"/>
      <c r="Q4" s="973" t="s">
        <v>304</v>
      </c>
      <c r="R4" s="974"/>
      <c r="S4" s="974"/>
      <c r="T4" s="474" t="s">
        <v>97</v>
      </c>
      <c r="U4" s="280"/>
      <c r="V4" s="973" t="s">
        <v>304</v>
      </c>
      <c r="W4" s="974"/>
      <c r="X4" s="974"/>
      <c r="Y4" s="474" t="s">
        <v>97</v>
      </c>
      <c r="Z4" s="280"/>
      <c r="AA4" s="973" t="s">
        <v>304</v>
      </c>
      <c r="AB4" s="974"/>
      <c r="AC4" s="974"/>
      <c r="AD4" s="474" t="s">
        <v>97</v>
      </c>
    </row>
    <row r="5" spans="1:30" ht="15" customHeight="1" thickTop="1" thickBot="1">
      <c r="A5" s="282"/>
      <c r="B5" s="282"/>
      <c r="C5" s="282"/>
      <c r="D5" s="282"/>
      <c r="E5" s="282"/>
      <c r="F5" s="282"/>
      <c r="G5" s="279"/>
      <c r="H5" s="281"/>
      <c r="I5" s="998"/>
      <c r="J5" s="998"/>
      <c r="K5" s="998"/>
      <c r="L5" s="998"/>
      <c r="M5" s="304"/>
      <c r="N5" s="319"/>
      <c r="O5" s="279"/>
      <c r="P5" s="953"/>
      <c r="Q5" s="961" t="s">
        <v>209</v>
      </c>
      <c r="R5" s="962"/>
      <c r="S5" s="470">
        <f>IF((VLOOKUP($P2,$H$9:$K$13,(MATCH(Q$1,$I$8:$K$8,0))+1))=0,,VLOOKUP((VLOOKUP($P2,$H$9:$K$13,(MATCH(Q$1,$I$8:$K$8,0))+1)),$H$17:$N$35,6,FALSE))</f>
        <v>0</v>
      </c>
      <c r="T5" s="286">
        <f>S5*T3</f>
        <v>0</v>
      </c>
      <c r="U5" s="272"/>
      <c r="V5" s="963" t="s">
        <v>209</v>
      </c>
      <c r="W5" s="964"/>
      <c r="X5" s="472">
        <f>IF((VLOOKUP($P2,$H$9:$K$13,(MATCH(V$1,$I$8:$K$8,0))+1))=0,,VLOOKUP((VLOOKUP($P2,$H$9:$K$13,(MATCH(V$1,$I$8:$K$8,0))+1)),$H$17:$N$35,6,FALSE))</f>
        <v>0</v>
      </c>
      <c r="Y5" s="287">
        <f>X5*Y3</f>
        <v>0</v>
      </c>
      <c r="Z5" s="272"/>
      <c r="AA5" s="961" t="s">
        <v>209</v>
      </c>
      <c r="AB5" s="962"/>
      <c r="AC5" s="470">
        <f>IF((VLOOKUP($P2,$H$9:$K$13,(MATCH(AA$1,$I$8:$K$8,0))+1))=0,,VLOOKUP((VLOOKUP($P2,$H$9:$K$13,(MATCH(AA$1,$I$8:$K$8,0))+1)),$H$17:$N$35,6,FALSE))</f>
        <v>0</v>
      </c>
      <c r="AD5" s="286">
        <f>AC5*AD3</f>
        <v>0</v>
      </c>
    </row>
    <row r="6" spans="1:30" ht="15.75" customHeight="1" thickBot="1">
      <c r="A6" s="958" t="s">
        <v>422</v>
      </c>
      <c r="B6" s="959"/>
      <c r="C6" s="959"/>
      <c r="D6" s="959"/>
      <c r="E6" s="959"/>
      <c r="F6" s="960"/>
      <c r="G6" s="272"/>
      <c r="O6" s="272"/>
      <c r="P6" s="953"/>
      <c r="Q6" s="965" t="s">
        <v>564</v>
      </c>
      <c r="R6" s="966"/>
      <c r="S6" s="475">
        <f>IF((VLOOKUP($P2,$H$9:$K$13,(MATCH(Q$1,$I$8:$K$8,0))+1))=0,,VLOOKUP((VLOOKUP($P2,$H$9:$K$13,(MATCH(Q$1,$I$8:$K$8,0))+1)),$H$17:$N$35,7,FALSE))</f>
        <v>0</v>
      </c>
      <c r="T6" s="476">
        <f>S6*T3</f>
        <v>0</v>
      </c>
      <c r="U6" s="283"/>
      <c r="V6" s="975" t="s">
        <v>564</v>
      </c>
      <c r="W6" s="976"/>
      <c r="X6" s="481">
        <f>IF((VLOOKUP($P2,$H$9:$K$13,(MATCH(V$1,$I$8:$K$8,0))+1))=0,,VLOOKUP((VLOOKUP($P2,$H$9:$K$13,(MATCH(V$1,$I$8:$K$8,0))+1)),$H$17:$N$35,7,FALSE))</f>
        <v>0</v>
      </c>
      <c r="Y6" s="482">
        <f>X6*Y3</f>
        <v>0</v>
      </c>
      <c r="Z6" s="283"/>
      <c r="AA6" s="965" t="s">
        <v>564</v>
      </c>
      <c r="AB6" s="966"/>
      <c r="AC6" s="475">
        <f>IF((VLOOKUP($P2,$H$9:$K$13,(MATCH(AA$1,$I$8:$K$8,0))+1))=0,,VLOOKUP((VLOOKUP($P2,$H$9:$K$13,(MATCH(AA$1,$I$8:$K$8,0))+1)),$H$17:$N$35,7,FALSE))</f>
        <v>0</v>
      </c>
      <c r="AD6" s="476">
        <f>AC6*AD3</f>
        <v>0</v>
      </c>
    </row>
    <row r="7" spans="1:30" ht="16.5" customHeight="1" thickBot="1">
      <c r="A7" s="945"/>
      <c r="B7" s="946"/>
      <c r="C7" s="946"/>
      <c r="D7" s="946"/>
      <c r="E7" s="946"/>
      <c r="F7" s="947"/>
      <c r="G7" s="283"/>
      <c r="H7" s="936" t="s">
        <v>305</v>
      </c>
      <c r="I7" s="937"/>
      <c r="J7" s="937"/>
      <c r="K7" s="937"/>
      <c r="L7" s="937"/>
      <c r="M7" s="937"/>
      <c r="N7" s="938"/>
      <c r="O7" s="283"/>
      <c r="P7" s="953"/>
      <c r="Q7" s="967" t="s">
        <v>308</v>
      </c>
      <c r="R7" s="968"/>
      <c r="S7" s="470">
        <f>IF((VLOOKUP($P2,$H$9:$K$13,(MATCH(Q$1,$I$8:$K$8,0))+1))=0,,VLOOKUP((VLOOKUP($P2,$H$9:$K$13,(MATCH(Q$1,$I$8:$K$8,0))+1)),$H$16:$N$35,4,FALSE))</f>
        <v>0</v>
      </c>
      <c r="T7" s="286">
        <f>S7*T3*(R3-1)</f>
        <v>0</v>
      </c>
      <c r="U7" s="283"/>
      <c r="V7" s="979" t="s">
        <v>308</v>
      </c>
      <c r="W7" s="980"/>
      <c r="X7" s="472">
        <f>IF((VLOOKUP($P2,$H$9:$K$13,(MATCH(V$1,$I$8:$K$8,0))+1))=0,,VLOOKUP((VLOOKUP($P2,$H$9:$K$13,(MATCH(V$1,$I$8:$K$8,0))+1)),$H$16:$N$35,4,FALSE))</f>
        <v>0</v>
      </c>
      <c r="Y7" s="287">
        <f>X7*Y3*(W3-1)</f>
        <v>0</v>
      </c>
      <c r="Z7" s="283"/>
      <c r="AA7" s="967" t="s">
        <v>308</v>
      </c>
      <c r="AB7" s="968"/>
      <c r="AC7" s="470">
        <f>IF((VLOOKUP($P2,$H$9:$K$13,(MATCH(AA$1,$I$8:$K$8,0))+1))=0,,VLOOKUP((VLOOKUP($P2,$H$9:$K$13,(MATCH(AA$1,$I$8:$K$8,0))+1)),$H$16:$N$35,4,FALSE))</f>
        <v>0</v>
      </c>
      <c r="AD7" s="286">
        <f>AC7*AD3*(AB3-1)</f>
        <v>0</v>
      </c>
    </row>
    <row r="8" spans="1:30" ht="16.5" thickTop="1" thickBot="1">
      <c r="A8" s="945"/>
      <c r="B8" s="946"/>
      <c r="C8" s="946"/>
      <c r="D8" s="946"/>
      <c r="E8" s="946"/>
      <c r="F8" s="947"/>
      <c r="G8" s="279"/>
      <c r="H8" s="469"/>
      <c r="I8" s="284" t="s">
        <v>297</v>
      </c>
      <c r="J8" s="284" t="s">
        <v>298</v>
      </c>
      <c r="K8" s="284" t="s">
        <v>299</v>
      </c>
      <c r="L8" s="284" t="s">
        <v>306</v>
      </c>
      <c r="M8" s="285" t="s">
        <v>307</v>
      </c>
      <c r="N8" s="285" t="s">
        <v>97</v>
      </c>
      <c r="O8" s="279"/>
      <c r="P8" s="953"/>
      <c r="Q8" s="969" t="s">
        <v>309</v>
      </c>
      <c r="R8" s="970"/>
      <c r="S8" s="471">
        <f>IF((VLOOKUP($P2,$H$9:$K$13,(MATCH(Q$1,$I$8:$K$8,0))+1))=0,,VLOOKUP((VLOOKUP($P2,$H$9:$K$13,(MATCH(Q$1,$I$8:$K$8,0))+1)),$H$16:$N$35,5,FALSE))</f>
        <v>0</v>
      </c>
      <c r="T8" s="292">
        <f>S8*(R3-(2*0.25))*T3</f>
        <v>0</v>
      </c>
      <c r="U8" s="283"/>
      <c r="V8" s="977" t="s">
        <v>309</v>
      </c>
      <c r="W8" s="978"/>
      <c r="X8" s="473">
        <f>IF((VLOOKUP($P2,$H$9:$K$13,(MATCH(V$1,$I$8:$K$8,0))+1))=0,,VLOOKUP((VLOOKUP($P2,$H$9:$K$13,(MATCH(V$1,$I$8:$K$8,0))+1)),$H$16:$N$35,5,FALSE))</f>
        <v>0</v>
      </c>
      <c r="Y8" s="293">
        <f>X8*(W3-(2*0.25))*Y3</f>
        <v>0</v>
      </c>
      <c r="Z8" s="283"/>
      <c r="AA8" s="969" t="s">
        <v>309</v>
      </c>
      <c r="AB8" s="970"/>
      <c r="AC8" s="471">
        <f>IF((VLOOKUP($P2,$H$9:$K$13,(MATCH(AA$1,$I$8:$K$8,0))+1))=0,,VLOOKUP((VLOOKUP($P2,$H$9:$K$13,(MATCH(AA$1,$I$8:$K$8,0))+1)),$H$16:$N$35,5,FALSE))</f>
        <v>0</v>
      </c>
      <c r="AD8" s="292">
        <f>AC8*(AB3-(2*0.25))*AD3</f>
        <v>0</v>
      </c>
    </row>
    <row r="9" spans="1:30" ht="15.75" customHeight="1" thickTop="1" thickBot="1">
      <c r="A9" s="945"/>
      <c r="B9" s="946"/>
      <c r="C9" s="946"/>
      <c r="D9" s="946"/>
      <c r="E9" s="946"/>
      <c r="F9" s="947"/>
      <c r="G9" s="279"/>
      <c r="H9" s="288" t="s">
        <v>446</v>
      </c>
      <c r="I9" s="289"/>
      <c r="J9" s="289"/>
      <c r="K9" s="289"/>
      <c r="L9" s="290">
        <f>(IF(Q9=L$8,T9,))+(IF(V9=L$8,Y9,))+(IF(AA9=L$8,AD9,))</f>
        <v>0</v>
      </c>
      <c r="M9" s="291">
        <f>(IF(Q9=M$8,T9,))+(IF(V9=M$8,Y9,))+(IF(AA9=M$8,AD9,))</f>
        <v>0</v>
      </c>
      <c r="N9" s="291">
        <f>L9+M9</f>
        <v>0</v>
      </c>
      <c r="O9" s="279"/>
      <c r="P9" s="954"/>
      <c r="Q9" s="971" t="str">
        <f>IF((VLOOKUP($P2,$H$9:$K$13,(MATCH(Q$1,$I$8:$K$8,0))+1))=0,"",VLOOKUP((VLOOKUP($P2,$H$9:$K$13,(MATCH(Q$1,$I$8:$K$8,0))+1)),$H$17:$M$35,3,FALSE))</f>
        <v/>
      </c>
      <c r="R9" s="972"/>
      <c r="S9" s="477" t="s">
        <v>565</v>
      </c>
      <c r="T9" s="298">
        <f>SUM(T5:T8)</f>
        <v>0</v>
      </c>
      <c r="U9" s="299"/>
      <c r="V9" s="971" t="str">
        <f>IF((VLOOKUP($P2,$H$9:$K$13,(MATCH(V$1,$I$8:$K$8,0))+1))=0,"",VLOOKUP((VLOOKUP($P2,$H$9:$K$13,(MATCH(V$1,$I$8:$K$8,0))+1)),$H$17:$M$35,3,FALSE))</f>
        <v/>
      </c>
      <c r="W9" s="972"/>
      <c r="X9" s="477" t="s">
        <v>565</v>
      </c>
      <c r="Y9" s="298">
        <f>SUM(Y5:Y8)</f>
        <v>0</v>
      </c>
      <c r="Z9" s="299"/>
      <c r="AA9" s="971" t="str">
        <f>IF((VLOOKUP($P2,$H$9:$K$13,(MATCH(AA$1,$I$8:$K$8,0))+1))=0,"",VLOOKUP((VLOOKUP($P2,$H$9:$K$13,(MATCH(AA$1,$I$8:$K$8,0))+1)),$H$17:$M$35,3,FALSE))</f>
        <v/>
      </c>
      <c r="AB9" s="972"/>
      <c r="AC9" s="477" t="s">
        <v>565</v>
      </c>
      <c r="AD9" s="298">
        <f>SUM(AD5:AD8)</f>
        <v>0</v>
      </c>
    </row>
    <row r="10" spans="1:30" ht="15.75" customHeight="1" thickBot="1">
      <c r="A10" s="945"/>
      <c r="B10" s="946"/>
      <c r="C10" s="946"/>
      <c r="D10" s="946"/>
      <c r="E10" s="946"/>
      <c r="F10" s="947"/>
      <c r="G10" s="272"/>
      <c r="H10" s="294" t="s">
        <v>447</v>
      </c>
      <c r="I10" s="295"/>
      <c r="J10" s="295"/>
      <c r="K10" s="295"/>
      <c r="L10" s="296">
        <f>(IF(Q17=L$8,T17,))+(IF(V17=L$8,Y17,))+(IF(AA17=L$8,AD17,))</f>
        <v>0</v>
      </c>
      <c r="M10" s="297">
        <f>(IF(Q17=M$8,T17,))+(IF(V17=M$8,Y17,))+(IF(AA17=M$8,AD17,))</f>
        <v>0</v>
      </c>
      <c r="N10" s="297">
        <f>L10+M10</f>
        <v>0</v>
      </c>
      <c r="O10" s="272"/>
      <c r="P10" s="952" t="s">
        <v>447</v>
      </c>
      <c r="Q10" s="955" t="str">
        <f>IF((VLOOKUP($P10,$H$9:$K$13,(MATCH(Q$1,$I$8:$K$8,0))+1))&gt;0,(CONCATENATE((VLOOKUP($P10,$H$9:$K$13,(MATCH(Q$1,$I$8:$K$8,0))+1)),", ",VLOOKUP((VLOOKUP($P10,$H$9:$K$13,(MATCH(Q$1,$I$8:$K$8,0))+1)),$H$17:$M$35,2,FALSE))),"No Trip")</f>
        <v>No Trip</v>
      </c>
      <c r="R10" s="956"/>
      <c r="S10" s="956"/>
      <c r="T10" s="957"/>
      <c r="U10" s="278"/>
      <c r="V10" s="955" t="str">
        <f>IF((VLOOKUP($P10,$H$9:$K$13,(MATCH(V$1,$I$8:$K$8,0))+1))&gt;0,(CONCATENATE((VLOOKUP($P10,$H$9:$K$13,(MATCH(V$1,$I$8:$K$8,0))+1)),", ",VLOOKUP((VLOOKUP($P10,$H$9:$K$13,(MATCH(V$1,$I$8:$K$8,0))+1)),$H$17:$M$35,2,FALSE))),"No Trip")</f>
        <v>No Trip</v>
      </c>
      <c r="W10" s="956"/>
      <c r="X10" s="956"/>
      <c r="Y10" s="957"/>
      <c r="Z10" s="278"/>
      <c r="AA10" s="955" t="str">
        <f>IF((VLOOKUP($P10,$H$9:$K$13,(MATCH(AA$1,$I$8:$K$8,0))+1))&gt;0,(CONCATENATE((VLOOKUP($P10,$H$9:$K$13,(MATCH(AA$1,$I$8:$K$8,0))+1)),", ",VLOOKUP((VLOOKUP($P10,$H$9:$K$13,(MATCH(AA$1,$I$8:$K$8,0))+1)),$H$17:$M$35,2,FALSE))),"No Trip")</f>
        <v>No Trip</v>
      </c>
      <c r="AB10" s="956"/>
      <c r="AC10" s="956"/>
      <c r="AD10" s="957"/>
    </row>
    <row r="11" spans="1:30" ht="15.75" thickTop="1">
      <c r="A11" s="945"/>
      <c r="B11" s="946"/>
      <c r="C11" s="946"/>
      <c r="D11" s="946"/>
      <c r="E11" s="946"/>
      <c r="F11" s="947"/>
      <c r="G11" s="283"/>
      <c r="H11" s="288" t="s">
        <v>448</v>
      </c>
      <c r="I11" s="289"/>
      <c r="J11" s="289"/>
      <c r="K11" s="289"/>
      <c r="L11" s="290">
        <f>(IF(Q25=L$8,T25,))+(IF(V25=L$8,Y25,))+(IF(AA25=L$8,AD25,))</f>
        <v>0</v>
      </c>
      <c r="M11" s="291">
        <f>(IF(Q25=M$8,T25,))+(IF(V25=M$8,Y25,))+(IF(AA25=M$8,AD25,))</f>
        <v>0</v>
      </c>
      <c r="N11" s="291">
        <f>L11+M11</f>
        <v>0</v>
      </c>
      <c r="O11" s="283"/>
      <c r="P11" s="953"/>
      <c r="Q11" s="468" t="s">
        <v>302</v>
      </c>
      <c r="R11" s="480">
        <f>IF((VLOOKUP($P10,$H$9:$K$13,(MATCH(Q$1,$I$8:$K$8,0))+1))=0,,VLOOKUP(Q11,$M$2:$N$3,2,0))</f>
        <v>0</v>
      </c>
      <c r="S11" s="478" t="s">
        <v>303</v>
      </c>
      <c r="T11" s="479">
        <f>IF((VLOOKUP($P10,$H$9:$K$13,(MATCH(Q$1,$I$8:$K$8,0))+1))=0,,VLOOKUP(S11,$M$2:$N$3,2,0))</f>
        <v>0</v>
      </c>
      <c r="U11" s="280"/>
      <c r="V11" s="468" t="s">
        <v>302</v>
      </c>
      <c r="W11" s="480">
        <f>IF((VLOOKUP($P10,$H$9:$K$13,(MATCH(V$1,$I$8:$K$8,0))+1))=0,,VLOOKUP(V11,$M$2:$N$3,2,0))</f>
        <v>0</v>
      </c>
      <c r="X11" s="478" t="s">
        <v>303</v>
      </c>
      <c r="Y11" s="479">
        <f>IF((VLOOKUP($P10,$H$9:$K$13,(MATCH(V$1,$I$8:$K$8,0))+1))=0,,VLOOKUP(X11,$M$2:$N$3,2,0))</f>
        <v>0</v>
      </c>
      <c r="Z11" s="280"/>
      <c r="AA11" s="468" t="s">
        <v>302</v>
      </c>
      <c r="AB11" s="480">
        <f>IF((VLOOKUP($P10,$H$9:$K$13,(MATCH(AA$1,$I$8:$K$8,0))+1))=0,,VLOOKUP(AA11,$M$2:$N$3,2,0))</f>
        <v>0</v>
      </c>
      <c r="AC11" s="478" t="s">
        <v>303</v>
      </c>
      <c r="AD11" s="479">
        <f>IF((VLOOKUP($P10,$H$9:$K$13,(MATCH(AA$1,$I$8:$K$8,0))+1))=0,,VLOOKUP(AC11,$M$2:$N$3,2,0))</f>
        <v>0</v>
      </c>
    </row>
    <row r="12" spans="1:30" ht="15.75" customHeight="1" thickBot="1">
      <c r="A12" s="945"/>
      <c r="B12" s="946"/>
      <c r="C12" s="946"/>
      <c r="D12" s="946"/>
      <c r="E12" s="946"/>
      <c r="F12" s="947"/>
      <c r="G12" s="283"/>
      <c r="H12" s="294" t="s">
        <v>449</v>
      </c>
      <c r="I12" s="295"/>
      <c r="J12" s="295"/>
      <c r="K12" s="295"/>
      <c r="L12" s="296">
        <f>(IF(Q33=L$8,T33,))+(IF(V33=L$8,Y33,))+(IF(AA33=L$8,AD33,))</f>
        <v>0</v>
      </c>
      <c r="M12" s="297">
        <f>(IF(Q33=M$8,T33,))+(IF(V33=M$8,Y33,))+(IF(AA33=M$8,AD33,))</f>
        <v>0</v>
      </c>
      <c r="N12" s="297">
        <f>L12+M12</f>
        <v>0</v>
      </c>
      <c r="O12" s="283"/>
      <c r="P12" s="953"/>
      <c r="Q12" s="973" t="s">
        <v>304</v>
      </c>
      <c r="R12" s="974"/>
      <c r="S12" s="974"/>
      <c r="T12" s="474" t="s">
        <v>97</v>
      </c>
      <c r="U12" s="280"/>
      <c r="V12" s="973" t="s">
        <v>304</v>
      </c>
      <c r="W12" s="974"/>
      <c r="X12" s="974"/>
      <c r="Y12" s="474" t="s">
        <v>97</v>
      </c>
      <c r="Z12" s="280"/>
      <c r="AA12" s="973" t="s">
        <v>304</v>
      </c>
      <c r="AB12" s="974"/>
      <c r="AC12" s="974"/>
      <c r="AD12" s="474" t="s">
        <v>97</v>
      </c>
    </row>
    <row r="13" spans="1:30" ht="15.75" customHeight="1" thickTop="1" thickBot="1">
      <c r="A13" s="948"/>
      <c r="B13" s="949"/>
      <c r="C13" s="949"/>
      <c r="D13" s="949"/>
      <c r="E13" s="949"/>
      <c r="F13" s="950"/>
      <c r="G13" s="274"/>
      <c r="H13" s="300" t="s">
        <v>450</v>
      </c>
      <c r="I13" s="562"/>
      <c r="J13" s="441"/>
      <c r="K13" s="441"/>
      <c r="L13" s="301">
        <f>(IF(Q41=L$8,T41,))+(IF(V41=L$8,Y41,))+(IF(AA41=L$8,AD41,))</f>
        <v>0</v>
      </c>
      <c r="M13" s="302">
        <f>(IF(Q41=M$8,T41,))+(IF(V41=M$8,Y41,))+(IF(AA41=M$8,AD41,))</f>
        <v>0</v>
      </c>
      <c r="N13" s="302">
        <f>L13+M13</f>
        <v>0</v>
      </c>
      <c r="O13" s="274"/>
      <c r="P13" s="953"/>
      <c r="Q13" s="961" t="s">
        <v>209</v>
      </c>
      <c r="R13" s="962"/>
      <c r="S13" s="470">
        <f>IF((VLOOKUP($P10,$H$9:$K$13,(MATCH(Q$1,$I$8:$K$8,0))+1))=0,,VLOOKUP((VLOOKUP($P10,$H$9:$K$13,(MATCH(Q$1,$I$8:$K$8,0))+1)),$H$17:$N$35,6,FALSE))</f>
        <v>0</v>
      </c>
      <c r="T13" s="286">
        <f>S13*T11</f>
        <v>0</v>
      </c>
      <c r="U13" s="272"/>
      <c r="V13" s="963" t="s">
        <v>209</v>
      </c>
      <c r="W13" s="964"/>
      <c r="X13" s="472">
        <f>IF((VLOOKUP($P10,$H$9:$K$13,(MATCH(V$1,$I$8:$K$8,0))+1))=0,,VLOOKUP((VLOOKUP($P10,$H$9:$K$13,(MATCH(V$1,$I$8:$K$8,0))+1)),$H$17:$N$35,6,FALSE))</f>
        <v>0</v>
      </c>
      <c r="Y13" s="287">
        <f>X13*Y11</f>
        <v>0</v>
      </c>
      <c r="Z13" s="272"/>
      <c r="AA13" s="961" t="s">
        <v>209</v>
      </c>
      <c r="AB13" s="962"/>
      <c r="AC13" s="470">
        <f>IF((VLOOKUP($P10,$H$9:$K$13,(MATCH(AA$1,$I$8:$K$8,0))+1))=0,,VLOOKUP((VLOOKUP($P10,$H$9:$K$13,(MATCH(AA$1,$I$8:$K$8,0))+1)),$H$17:$N$35,6,FALSE))</f>
        <v>0</v>
      </c>
      <c r="AD13" s="286">
        <f>AC13*AD11</f>
        <v>0</v>
      </c>
    </row>
    <row r="14" spans="1:30" ht="15.75" thickBot="1">
      <c r="A14" s="282"/>
      <c r="B14" s="282"/>
      <c r="C14" s="282"/>
      <c r="D14" s="282"/>
      <c r="E14" s="282"/>
      <c r="F14" s="282"/>
      <c r="G14" s="279"/>
      <c r="H14" s="303" t="s">
        <v>310</v>
      </c>
      <c r="I14" s="304"/>
      <c r="J14" s="304"/>
      <c r="K14" s="305"/>
      <c r="L14" s="306">
        <f>SUM(L9:L13)</f>
        <v>0</v>
      </c>
      <c r="M14" s="307">
        <f>SUM(M9:M13)</f>
        <v>0</v>
      </c>
      <c r="N14" s="307">
        <f>SUM(N9:N13)</f>
        <v>0</v>
      </c>
      <c r="O14" s="279"/>
      <c r="P14" s="953"/>
      <c r="Q14" s="965" t="s">
        <v>564</v>
      </c>
      <c r="R14" s="966"/>
      <c r="S14" s="475">
        <f>IF((VLOOKUP($P10,$H$9:$K$13,(MATCH(Q$1,$I$8:$K$8,0))+1))=0,,VLOOKUP((VLOOKUP($P10,$H$9:$K$13,(MATCH(Q$1,$I$8:$K$8,0))+1)),$H$17:$N$35,7,FALSE))</f>
        <v>0</v>
      </c>
      <c r="T14" s="476">
        <f>S14*T11</f>
        <v>0</v>
      </c>
      <c r="U14" s="283"/>
      <c r="V14" s="975" t="s">
        <v>564</v>
      </c>
      <c r="W14" s="976"/>
      <c r="X14" s="481">
        <f>IF((VLOOKUP($P10,$H$9:$K$13,(MATCH(V$1,$I$8:$K$8,0))+1))=0,,VLOOKUP((VLOOKUP($P10,$H$9:$K$13,(MATCH(V$1,$I$8:$K$8,0))+1)),$H$17:$N$35,7,FALSE))</f>
        <v>0</v>
      </c>
      <c r="Y14" s="482">
        <f>X14*Y11</f>
        <v>0</v>
      </c>
      <c r="Z14" s="283"/>
      <c r="AA14" s="965" t="s">
        <v>564</v>
      </c>
      <c r="AB14" s="966"/>
      <c r="AC14" s="475">
        <f>IF((VLOOKUP($P10,$H$9:$K$13,(MATCH(AA$1,$I$8:$K$8,0))+1))=0,,VLOOKUP((VLOOKUP($P10,$H$9:$K$13,(MATCH(AA$1,$I$8:$K$8,0))+1)),$H$17:$N$35,7,FALSE))</f>
        <v>0</v>
      </c>
      <c r="AD14" s="476">
        <f>AC14*AD11</f>
        <v>0</v>
      </c>
    </row>
    <row r="15" spans="1:30" ht="15.75" customHeight="1" thickBot="1">
      <c r="A15" s="993" t="s">
        <v>311</v>
      </c>
      <c r="B15" s="959"/>
      <c r="C15" s="959"/>
      <c r="D15" s="959"/>
      <c r="E15" s="959"/>
      <c r="F15" s="960"/>
      <c r="P15" s="953"/>
      <c r="Q15" s="967" t="s">
        <v>308</v>
      </c>
      <c r="R15" s="968"/>
      <c r="S15" s="470">
        <f>IF((VLOOKUP($P10,$H$9:$K$13,(MATCH(Q$1,$I$8:$K$8,0))+1))=0,,VLOOKUP((VLOOKUP($P10,$H$9:$K$13,(MATCH(Q$1,$I$8:$K$8,0))+1)),$H$16:$N$35,4,FALSE))</f>
        <v>0</v>
      </c>
      <c r="T15" s="286">
        <f>S15*T11*(R11-1)</f>
        <v>0</v>
      </c>
      <c r="U15" s="283"/>
      <c r="V15" s="979" t="s">
        <v>308</v>
      </c>
      <c r="W15" s="980"/>
      <c r="X15" s="472">
        <f>IF((VLOOKUP($P10,$H$9:$K$13,(MATCH(V$1,$I$8:$K$8,0))+1))=0,,VLOOKUP((VLOOKUP($P10,$H$9:$K$13,(MATCH(V$1,$I$8:$K$8,0))+1)),$H$16:$N$35,4,FALSE))</f>
        <v>0</v>
      </c>
      <c r="Y15" s="287">
        <f>X15*Y11*(W11-1)</f>
        <v>0</v>
      </c>
      <c r="Z15" s="283"/>
      <c r="AA15" s="967" t="s">
        <v>308</v>
      </c>
      <c r="AB15" s="968"/>
      <c r="AC15" s="470">
        <f>IF((VLOOKUP($P10,$H$9:$K$13,(MATCH(AA$1,$I$8:$K$8,0))+1))=0,,VLOOKUP((VLOOKUP($P10,$H$9:$K$13,(MATCH(AA$1,$I$8:$K$8,0))+1)),$H$16:$N$35,4,FALSE))</f>
        <v>0</v>
      </c>
      <c r="AD15" s="286">
        <f>AC15*AD11*(AB11-1)</f>
        <v>0</v>
      </c>
    </row>
    <row r="16" spans="1:30" ht="15.75" thickBot="1">
      <c r="A16" s="945"/>
      <c r="B16" s="946"/>
      <c r="C16" s="946"/>
      <c r="D16" s="946"/>
      <c r="E16" s="946"/>
      <c r="F16" s="947"/>
      <c r="H16" s="466" t="s">
        <v>312</v>
      </c>
      <c r="I16" s="467" t="s">
        <v>313</v>
      </c>
      <c r="J16" s="467" t="s">
        <v>314</v>
      </c>
      <c r="K16" s="467" t="s">
        <v>308</v>
      </c>
      <c r="L16" s="467" t="s">
        <v>309</v>
      </c>
      <c r="M16" s="467" t="s">
        <v>209</v>
      </c>
      <c r="N16" s="308" t="s">
        <v>563</v>
      </c>
      <c r="P16" s="953"/>
      <c r="Q16" s="969" t="s">
        <v>309</v>
      </c>
      <c r="R16" s="970"/>
      <c r="S16" s="471">
        <f>IF((VLOOKUP($P10,$H$9:$K$13,(MATCH(Q$1,$I$8:$K$8,0))+1))=0,,VLOOKUP((VLOOKUP($P10,$H$9:$K$13,(MATCH(Q$1,$I$8:$K$8,0))+1)),$H$16:$N$35,5,FALSE))</f>
        <v>0</v>
      </c>
      <c r="T16" s="292">
        <f>S16*(R11-(2*0.25))*T11</f>
        <v>0</v>
      </c>
      <c r="U16" s="283"/>
      <c r="V16" s="977" t="s">
        <v>309</v>
      </c>
      <c r="W16" s="978"/>
      <c r="X16" s="473">
        <f>IF((VLOOKUP($P10,$H$9:$K$13,(MATCH(V$1,$I$8:$K$8,0))+1))=0,,VLOOKUP((VLOOKUP($P10,$H$9:$K$13,(MATCH(V$1,$I$8:$K$8,0))+1)),$H$16:$N$35,5,FALSE))</f>
        <v>0</v>
      </c>
      <c r="Y16" s="293">
        <f>X16*(W11-(2*0.25))*Y11</f>
        <v>0</v>
      </c>
      <c r="Z16" s="283"/>
      <c r="AA16" s="969" t="s">
        <v>309</v>
      </c>
      <c r="AB16" s="970"/>
      <c r="AC16" s="471">
        <f>IF((VLOOKUP($P10,$H$9:$K$13,(MATCH(AA$1,$I$8:$K$8,0))+1))=0,,VLOOKUP((VLOOKUP($P10,$H$9:$K$13,(MATCH(AA$1,$I$8:$K$8,0))+1)),$H$16:$N$35,5,FALSE))</f>
        <v>0</v>
      </c>
      <c r="AD16" s="292">
        <f>AC16*(AB11-(2*0.25))*AD11</f>
        <v>0</v>
      </c>
    </row>
    <row r="17" spans="1:30" ht="16.5" thickTop="1" thickBot="1">
      <c r="A17" s="945"/>
      <c r="B17" s="946"/>
      <c r="C17" s="946"/>
      <c r="D17" s="946"/>
      <c r="E17" s="946"/>
      <c r="F17" s="947"/>
      <c r="G17" s="272"/>
      <c r="H17" s="437" t="s">
        <v>495</v>
      </c>
      <c r="I17" s="438" t="s">
        <v>496</v>
      </c>
      <c r="J17" s="438" t="s">
        <v>306</v>
      </c>
      <c r="K17" s="439">
        <v>96</v>
      </c>
      <c r="L17" s="439">
        <v>55</v>
      </c>
      <c r="M17" s="439">
        <v>500</v>
      </c>
      <c r="N17" s="440">
        <v>250</v>
      </c>
      <c r="P17" s="954"/>
      <c r="Q17" s="971" t="str">
        <f>IF((VLOOKUP($P10,$H$9:$K$13,(MATCH(Q$1,$I$8:$K$8,0))+1))=0,"",VLOOKUP((VLOOKUP($P10,$H$9:$K$13,(MATCH(Q$1,$I$8:$K$8,0))+1)),$H$17:$M$35,3,FALSE))</f>
        <v/>
      </c>
      <c r="R17" s="972"/>
      <c r="S17" s="477" t="s">
        <v>565</v>
      </c>
      <c r="T17" s="298">
        <f>SUM(T13:T16)</f>
        <v>0</v>
      </c>
      <c r="U17" s="299"/>
      <c r="V17" s="971" t="str">
        <f>IF((VLOOKUP($P10,$H$9:$K$13,(MATCH(V$1,$I$8:$K$8,0))+1))=0,"",VLOOKUP((VLOOKUP($P10,$H$9:$K$13,(MATCH(V$1,$I$8:$K$8,0))+1)),$H$17:$M$35,3,FALSE))</f>
        <v/>
      </c>
      <c r="W17" s="972"/>
      <c r="X17" s="477" t="s">
        <v>565</v>
      </c>
      <c r="Y17" s="298">
        <f>SUM(Y13:Y16)</f>
        <v>0</v>
      </c>
      <c r="Z17" s="299"/>
      <c r="AA17" s="971" t="str">
        <f>IF((VLOOKUP($P10,$H$9:$K$13,(MATCH(AA$1,$I$8:$K$8,0))+1))=0,"",VLOOKUP((VLOOKUP($P10,$H$9:$K$13,(MATCH(AA$1,$I$8:$K$8,0))+1)),$H$17:$M$35,3,FALSE))</f>
        <v/>
      </c>
      <c r="AB17" s="972"/>
      <c r="AC17" s="477" t="s">
        <v>565</v>
      </c>
      <c r="AD17" s="298">
        <f>SUM(AD13:AD16)</f>
        <v>0</v>
      </c>
    </row>
    <row r="18" spans="1:30" ht="15.75" customHeight="1" thickBot="1">
      <c r="A18" s="945"/>
      <c r="B18" s="946"/>
      <c r="C18" s="946"/>
      <c r="D18" s="946"/>
      <c r="E18" s="946"/>
      <c r="F18" s="947"/>
      <c r="G18" s="274"/>
      <c r="H18" s="309"/>
      <c r="I18" s="312"/>
      <c r="J18" s="312"/>
      <c r="K18" s="310"/>
      <c r="L18" s="310"/>
      <c r="M18" s="310"/>
      <c r="N18" s="311"/>
      <c r="P18" s="952" t="s">
        <v>448</v>
      </c>
      <c r="Q18" s="955" t="str">
        <f>IF((VLOOKUP($P18,$H$9:$K$13,(MATCH(Q$1,$I$8:$K$8,0))+1))&gt;0,(CONCATENATE((VLOOKUP($P18,$H$9:$K$13,(MATCH(Q$1,$I$8:$K$8,0))+1)),", ",VLOOKUP((VLOOKUP($P18,$H$9:$K$13,(MATCH(Q$1,$I$8:$K$8,0))+1)),$H$17:$M$35,2,FALSE))),"No Trip")</f>
        <v>No Trip</v>
      </c>
      <c r="R18" s="956"/>
      <c r="S18" s="956"/>
      <c r="T18" s="957"/>
      <c r="U18" s="278"/>
      <c r="V18" s="955" t="str">
        <f>IF((VLOOKUP($P18,$H$9:$K$13,(MATCH(V$1,$I$8:$K$8,0))+1))&gt;0,(CONCATENATE((VLOOKUP($P18,$H$9:$K$13,(MATCH(V$1,$I$8:$K$8,0))+1)),", ",VLOOKUP((VLOOKUP($P18,$H$9:$K$13,(MATCH(V$1,$I$8:$K$8,0))+1)),$H$17:$M$35,2,FALSE))),"No Trip")</f>
        <v>No Trip</v>
      </c>
      <c r="W18" s="956"/>
      <c r="X18" s="956"/>
      <c r="Y18" s="957"/>
      <c r="Z18" s="278"/>
      <c r="AA18" s="955" t="str">
        <f>IF((VLOOKUP($P18,$H$9:$K$13,(MATCH(AA$1,$I$8:$K$8,0))+1))&gt;0,(CONCATENATE((VLOOKUP($P18,$H$9:$K$13,(MATCH(AA$1,$I$8:$K$8,0))+1)),", ",VLOOKUP((VLOOKUP($P18,$H$9:$K$13,(MATCH(AA$1,$I$8:$K$8,0))+1)),$H$17:$M$35,2,FALSE))),"No Trip")</f>
        <v>No Trip</v>
      </c>
      <c r="AB18" s="956"/>
      <c r="AC18" s="956"/>
      <c r="AD18" s="957"/>
    </row>
    <row r="19" spans="1:30" ht="15.75" thickTop="1">
      <c r="A19" s="945"/>
      <c r="B19" s="946"/>
      <c r="C19" s="946"/>
      <c r="D19" s="946"/>
      <c r="E19" s="946"/>
      <c r="F19" s="947"/>
      <c r="G19" s="279"/>
      <c r="H19" s="309"/>
      <c r="I19" s="312"/>
      <c r="J19" s="312"/>
      <c r="K19" s="310"/>
      <c r="L19" s="310"/>
      <c r="M19" s="310"/>
      <c r="N19" s="311"/>
      <c r="P19" s="953"/>
      <c r="Q19" s="468" t="s">
        <v>302</v>
      </c>
      <c r="R19" s="480">
        <f>IF((VLOOKUP($P18,$H$9:$K$13,(MATCH(Q$1,$I$8:$K$8,0))+1))=0,,VLOOKUP(Q19,$M$2:$N$3,2,0))</f>
        <v>0</v>
      </c>
      <c r="S19" s="478" t="s">
        <v>303</v>
      </c>
      <c r="T19" s="479">
        <f>IF((VLOOKUP($P18,$H$9:$K$13,(MATCH(Q$1,$I$8:$K$8,0))+1))=0,,VLOOKUP(S19,$M$2:$N$3,2,0))</f>
        <v>0</v>
      </c>
      <c r="U19" s="280"/>
      <c r="V19" s="468" t="s">
        <v>302</v>
      </c>
      <c r="W19" s="480">
        <f>IF((VLOOKUP($P18,$H$9:$K$13,(MATCH(V$1,$I$8:$K$8,0))+1))=0,,VLOOKUP(V19,$M$2:$N$3,2,0))</f>
        <v>0</v>
      </c>
      <c r="X19" s="478" t="s">
        <v>303</v>
      </c>
      <c r="Y19" s="479">
        <f>IF((VLOOKUP($P18,$H$9:$K$13,(MATCH(V$1,$I$8:$K$8,0))+1))=0,,VLOOKUP(X19,$M$2:$N$3,2,0))</f>
        <v>0</v>
      </c>
      <c r="Z19" s="280"/>
      <c r="AA19" s="468" t="s">
        <v>302</v>
      </c>
      <c r="AB19" s="480">
        <f>IF((VLOOKUP($P18,$H$9:$K$13,(MATCH(AA$1,$I$8:$K$8,0))+1))=0,,VLOOKUP(AA19,$M$2:$N$3,2,0))</f>
        <v>0</v>
      </c>
      <c r="AC19" s="478" t="s">
        <v>303</v>
      </c>
      <c r="AD19" s="479">
        <f>IF((VLOOKUP($P18,$H$9:$K$13,(MATCH(AA$1,$I$8:$K$8,0))+1))=0,,VLOOKUP(AC19,$M$2:$N$3,2,0))</f>
        <v>0</v>
      </c>
    </row>
    <row r="20" spans="1:30" ht="15.75" thickBot="1">
      <c r="A20" s="945"/>
      <c r="B20" s="946"/>
      <c r="C20" s="946"/>
      <c r="D20" s="946"/>
      <c r="E20" s="946"/>
      <c r="F20" s="947"/>
      <c r="G20" s="279"/>
      <c r="H20" s="309"/>
      <c r="I20" s="312"/>
      <c r="J20" s="312"/>
      <c r="K20" s="310"/>
      <c r="L20" s="310"/>
      <c r="M20" s="310"/>
      <c r="N20" s="311"/>
      <c r="O20" s="283"/>
      <c r="P20" s="953"/>
      <c r="Q20" s="973" t="s">
        <v>304</v>
      </c>
      <c r="R20" s="974"/>
      <c r="S20" s="974"/>
      <c r="T20" s="474" t="s">
        <v>97</v>
      </c>
      <c r="U20" s="280"/>
      <c r="V20" s="973" t="s">
        <v>304</v>
      </c>
      <c r="W20" s="974"/>
      <c r="X20" s="974"/>
      <c r="Y20" s="474" t="s">
        <v>97</v>
      </c>
      <c r="Z20" s="280"/>
      <c r="AA20" s="973" t="s">
        <v>304</v>
      </c>
      <c r="AB20" s="974"/>
      <c r="AC20" s="974"/>
      <c r="AD20" s="474" t="s">
        <v>97</v>
      </c>
    </row>
    <row r="21" spans="1:30" ht="15.75" thickTop="1">
      <c r="A21" s="945"/>
      <c r="B21" s="946"/>
      <c r="C21" s="946"/>
      <c r="D21" s="946"/>
      <c r="E21" s="946"/>
      <c r="F21" s="947"/>
      <c r="G21" s="279"/>
      <c r="H21" s="309"/>
      <c r="I21" s="312"/>
      <c r="J21" s="312"/>
      <c r="K21" s="310"/>
      <c r="L21" s="310"/>
      <c r="M21" s="310"/>
      <c r="N21" s="311"/>
      <c r="O21" s="283"/>
      <c r="P21" s="953"/>
      <c r="Q21" s="961" t="s">
        <v>209</v>
      </c>
      <c r="R21" s="962"/>
      <c r="S21" s="470">
        <f>IF((VLOOKUP($P18,$H$9:$K$13,(MATCH(Q$1,$I$8:$K$8,0))+1))=0,,VLOOKUP((VLOOKUP($P18,$H$9:$K$13,(MATCH(Q$1,$I$8:$K$8,0))+1)),$H$17:$N$35,6,FALSE))</f>
        <v>0</v>
      </c>
      <c r="T21" s="286">
        <f>S21*T19</f>
        <v>0</v>
      </c>
      <c r="U21" s="272"/>
      <c r="V21" s="963" t="s">
        <v>209</v>
      </c>
      <c r="W21" s="964"/>
      <c r="X21" s="472">
        <f>IF((VLOOKUP($P18,$H$9:$K$13,(MATCH(V$1,$I$8:$K$8,0))+1))=0,,VLOOKUP((VLOOKUP($P18,$H$9:$K$13,(MATCH(V$1,$I$8:$K$8,0))+1)),$H$17:$N$35,6,FALSE))</f>
        <v>0</v>
      </c>
      <c r="Y21" s="287">
        <f>X21*Y19</f>
        <v>0</v>
      </c>
      <c r="Z21" s="272"/>
      <c r="AA21" s="961" t="s">
        <v>209</v>
      </c>
      <c r="AB21" s="962"/>
      <c r="AC21" s="470">
        <f>IF((VLOOKUP($P18,$H$9:$K$13,(MATCH(AA$1,$I$8:$K$8,0))+1))=0,,VLOOKUP((VLOOKUP($P18,$H$9:$K$13,(MATCH(AA$1,$I$8:$K$8,0))+1)),$H$17:$N$35,6,FALSE))</f>
        <v>0</v>
      </c>
      <c r="AD21" s="286">
        <f>AC21*AD19</f>
        <v>0</v>
      </c>
    </row>
    <row r="22" spans="1:30" ht="15.75" customHeight="1">
      <c r="A22" s="945"/>
      <c r="B22" s="946"/>
      <c r="C22" s="946"/>
      <c r="D22" s="946"/>
      <c r="E22" s="946"/>
      <c r="F22" s="947"/>
      <c r="G22" s="272"/>
      <c r="H22" s="309"/>
      <c r="I22" s="312"/>
      <c r="J22" s="312"/>
      <c r="K22" s="310"/>
      <c r="L22" s="310"/>
      <c r="M22" s="310"/>
      <c r="N22" s="311"/>
      <c r="P22" s="953"/>
      <c r="Q22" s="965" t="s">
        <v>564</v>
      </c>
      <c r="R22" s="966"/>
      <c r="S22" s="475">
        <f>IF((VLOOKUP($P18,$H$9:$K$13,(MATCH(Q$1,$I$8:$K$8,0))+1))=0,,VLOOKUP((VLOOKUP($P18,$H$9:$K$13,(MATCH(Q$1,$I$8:$K$8,0))+1)),$H$17:$N$35,7,FALSE))</f>
        <v>0</v>
      </c>
      <c r="T22" s="476">
        <f>S22*T19</f>
        <v>0</v>
      </c>
      <c r="U22" s="283"/>
      <c r="V22" s="975" t="s">
        <v>564</v>
      </c>
      <c r="W22" s="976"/>
      <c r="X22" s="481">
        <f>IF((VLOOKUP($P18,$H$9:$K$13,(MATCH(V$1,$I$8:$K$8,0))+1))=0,,VLOOKUP((VLOOKUP($P18,$H$9:$K$13,(MATCH(V$1,$I$8:$K$8,0))+1)),$H$17:$N$35,7,FALSE))</f>
        <v>0</v>
      </c>
      <c r="Y22" s="482">
        <f>X22*Y19</f>
        <v>0</v>
      </c>
      <c r="Z22" s="283"/>
      <c r="AA22" s="965" t="s">
        <v>564</v>
      </c>
      <c r="AB22" s="966"/>
      <c r="AC22" s="475">
        <f>IF((VLOOKUP($P18,$H$9:$K$13,(MATCH(AA$1,$I$8:$K$8,0))+1))=0,,VLOOKUP((VLOOKUP($P18,$H$9:$K$13,(MATCH(AA$1,$I$8:$K$8,0))+1)),$H$17:$N$35,7,FALSE))</f>
        <v>0</v>
      </c>
      <c r="AD22" s="476">
        <f>AC22*AD19</f>
        <v>0</v>
      </c>
    </row>
    <row r="23" spans="1:30">
      <c r="A23" s="945"/>
      <c r="B23" s="946"/>
      <c r="C23" s="946"/>
      <c r="D23" s="946"/>
      <c r="E23" s="946"/>
      <c r="F23" s="947"/>
      <c r="G23" s="283"/>
      <c r="H23" s="309"/>
      <c r="I23" s="312"/>
      <c r="J23" s="312"/>
      <c r="K23" s="310"/>
      <c r="L23" s="310"/>
      <c r="M23" s="310"/>
      <c r="N23" s="311"/>
      <c r="O23" s="272"/>
      <c r="P23" s="953"/>
      <c r="Q23" s="967" t="s">
        <v>308</v>
      </c>
      <c r="R23" s="968"/>
      <c r="S23" s="470">
        <f>IF((VLOOKUP($P18,$H$9:$K$13,(MATCH(Q$1,$I$8:$K$8,0))+1))=0,,VLOOKUP((VLOOKUP($P18,$H$9:$K$13,(MATCH(Q$1,$I$8:$K$8,0))+1)),$H$16:$N$35,4,FALSE))</f>
        <v>0</v>
      </c>
      <c r="T23" s="286">
        <f>S23*T19*(R19-1)</f>
        <v>0</v>
      </c>
      <c r="U23" s="283"/>
      <c r="V23" s="979" t="s">
        <v>308</v>
      </c>
      <c r="W23" s="980"/>
      <c r="X23" s="472">
        <f>IF((VLOOKUP($P18,$H$9:$K$13,(MATCH(V$1,$I$8:$K$8,0))+1))=0,,VLOOKUP((VLOOKUP($P18,$H$9:$K$13,(MATCH(V$1,$I$8:$K$8,0))+1)),$H$16:$N$35,4,FALSE))</f>
        <v>0</v>
      </c>
      <c r="Y23" s="287">
        <f>X23*Y19*(W19-1)</f>
        <v>0</v>
      </c>
      <c r="Z23" s="283"/>
      <c r="AA23" s="967" t="s">
        <v>308</v>
      </c>
      <c r="AB23" s="968"/>
      <c r="AC23" s="470">
        <f>IF((VLOOKUP($P18,$H$9:$K$13,(MATCH(AA$1,$I$8:$K$8,0))+1))=0,,VLOOKUP((VLOOKUP($P18,$H$9:$K$13,(MATCH(AA$1,$I$8:$K$8,0))+1)),$H$16:$N$35,4,FALSE))</f>
        <v>0</v>
      </c>
      <c r="AD23" s="286">
        <f>AC23*AD19*(AB19-1)</f>
        <v>0</v>
      </c>
    </row>
    <row r="24" spans="1:30" ht="15.75" customHeight="1" thickBot="1">
      <c r="A24" s="945"/>
      <c r="B24" s="946"/>
      <c r="C24" s="946"/>
      <c r="D24" s="946"/>
      <c r="E24" s="946"/>
      <c r="F24" s="947"/>
      <c r="G24" s="283"/>
      <c r="H24" s="309"/>
      <c r="I24" s="312"/>
      <c r="J24" s="312"/>
      <c r="K24" s="310"/>
      <c r="L24" s="310"/>
      <c r="M24" s="310"/>
      <c r="N24" s="311"/>
      <c r="O24" s="274"/>
      <c r="P24" s="953"/>
      <c r="Q24" s="969" t="s">
        <v>309</v>
      </c>
      <c r="R24" s="970"/>
      <c r="S24" s="471">
        <f>IF((VLOOKUP($P18,$H$9:$K$13,(MATCH(Q$1,$I$8:$K$8,0))+1))=0,,VLOOKUP((VLOOKUP($P18,$H$9:$K$13,(MATCH(Q$1,$I$8:$K$8,0))+1)),$H$16:$N$35,5,FALSE))</f>
        <v>0</v>
      </c>
      <c r="T24" s="292">
        <f>S24*(R19-(2*0.25))*T19</f>
        <v>0</v>
      </c>
      <c r="U24" s="283"/>
      <c r="V24" s="977" t="s">
        <v>309</v>
      </c>
      <c r="W24" s="978"/>
      <c r="X24" s="473">
        <f>IF((VLOOKUP($P18,$H$9:$K$13,(MATCH(V$1,$I$8:$K$8,0))+1))=0,,VLOOKUP((VLOOKUP($P18,$H$9:$K$13,(MATCH(V$1,$I$8:$K$8,0))+1)),$H$16:$N$35,5,FALSE))</f>
        <v>0</v>
      </c>
      <c r="Y24" s="293">
        <f>X24*(W19-(2*0.25))*Y19</f>
        <v>0</v>
      </c>
      <c r="Z24" s="283"/>
      <c r="AA24" s="969" t="s">
        <v>309</v>
      </c>
      <c r="AB24" s="970"/>
      <c r="AC24" s="471">
        <f>IF((VLOOKUP($P18,$H$9:$K$13,(MATCH(AA$1,$I$8:$K$8,0))+1))=0,,VLOOKUP((VLOOKUP($P18,$H$9:$K$13,(MATCH(AA$1,$I$8:$K$8,0))+1)),$H$16:$N$35,5,FALSE))</f>
        <v>0</v>
      </c>
      <c r="AD24" s="292">
        <f>AC24*(AB19-(2*0.25))*AD19</f>
        <v>0</v>
      </c>
    </row>
    <row r="25" spans="1:30" ht="16.5" thickTop="1" thickBot="1">
      <c r="A25" s="945"/>
      <c r="B25" s="946"/>
      <c r="C25" s="946"/>
      <c r="D25" s="946"/>
      <c r="E25" s="946"/>
      <c r="F25" s="947"/>
      <c r="G25" s="283"/>
      <c r="H25" s="309"/>
      <c r="I25" s="312"/>
      <c r="J25" s="312"/>
      <c r="K25" s="310"/>
      <c r="L25" s="310"/>
      <c r="M25" s="310"/>
      <c r="N25" s="311"/>
      <c r="O25" s="279"/>
      <c r="P25" s="954"/>
      <c r="Q25" s="971" t="str">
        <f>IF((VLOOKUP($P18,$H$9:$K$13,(MATCH(Q$1,$I$8:$K$8,0))+1))=0,"",VLOOKUP((VLOOKUP($P18,$H$9:$K$13,(MATCH(Q$1,$I$8:$K$8,0))+1)),$H$17:$M$35,3,FALSE))</f>
        <v/>
      </c>
      <c r="R25" s="972"/>
      <c r="S25" s="477" t="s">
        <v>565</v>
      </c>
      <c r="T25" s="298">
        <f>SUM(T21:T24)</f>
        <v>0</v>
      </c>
      <c r="U25" s="299"/>
      <c r="V25" s="971" t="str">
        <f>IF((VLOOKUP($P18,$H$9:$K$13,(MATCH(V$1,$I$8:$K$8,0))+1))=0,"",VLOOKUP((VLOOKUP($P18,$H$9:$K$13,(MATCH(V$1,$I$8:$K$8,0))+1)),$H$17:$M$35,3,FALSE))</f>
        <v/>
      </c>
      <c r="W25" s="972"/>
      <c r="X25" s="477" t="s">
        <v>565</v>
      </c>
      <c r="Y25" s="298">
        <f>SUM(Y21:Y24)</f>
        <v>0</v>
      </c>
      <c r="Z25" s="299"/>
      <c r="AA25" s="971" t="str">
        <f>IF((VLOOKUP($P18,$H$9:$K$13,(MATCH(AA$1,$I$8:$K$8,0))+1))=0,"",VLOOKUP((VLOOKUP($P18,$H$9:$K$13,(MATCH(AA$1,$I$8:$K$8,0))+1)),$H$17:$M$35,3,FALSE))</f>
        <v/>
      </c>
      <c r="AB25" s="972"/>
      <c r="AC25" s="477" t="s">
        <v>565</v>
      </c>
      <c r="AD25" s="298">
        <f>SUM(AD21:AD24)</f>
        <v>0</v>
      </c>
    </row>
    <row r="26" spans="1:30" ht="15.75" customHeight="1" thickBot="1">
      <c r="A26" s="945"/>
      <c r="B26" s="946"/>
      <c r="C26" s="946"/>
      <c r="D26" s="946"/>
      <c r="E26" s="946"/>
      <c r="F26" s="947"/>
      <c r="G26" s="283"/>
      <c r="H26" s="309"/>
      <c r="I26" s="312"/>
      <c r="J26" s="312"/>
      <c r="K26" s="310"/>
      <c r="L26" s="310"/>
      <c r="M26" s="310"/>
      <c r="N26" s="311"/>
      <c r="O26" s="279"/>
      <c r="P26" s="952" t="s">
        <v>449</v>
      </c>
      <c r="Q26" s="955" t="str">
        <f>IF((VLOOKUP($P26,$H$9:$K$13,(MATCH(Q$1,$I$8:$K$8,0))+1))&gt;0,(CONCATENATE((VLOOKUP($P26,$H$9:$K$13,(MATCH(Q$1,$I$8:$K$8,0))+1)),", ",VLOOKUP((VLOOKUP($P26,$H$9:$K$13,(MATCH(Q$1,$I$8:$K$8,0))+1)),$H$17:$M$35,2,FALSE))),"No Trip")</f>
        <v>No Trip</v>
      </c>
      <c r="R26" s="956"/>
      <c r="S26" s="956"/>
      <c r="T26" s="957"/>
      <c r="U26" s="278"/>
      <c r="V26" s="955" t="str">
        <f>IF((VLOOKUP($P26,$H$9:$K$13,(MATCH(V$1,$I$8:$K$8,0))+1))&gt;0,(CONCATENATE((VLOOKUP($P26,$H$9:$K$13,(MATCH(V$1,$I$8:$K$8,0))+1)),", ",VLOOKUP((VLOOKUP($P26,$H$9:$K$13,(MATCH(V$1,$I$8:$K$8,0))+1)),$H$17:$M$35,2,FALSE))),"No Trip")</f>
        <v>No Trip</v>
      </c>
      <c r="W26" s="956"/>
      <c r="X26" s="956"/>
      <c r="Y26" s="957"/>
      <c r="Z26" s="278"/>
      <c r="AA26" s="955" t="str">
        <f>IF((VLOOKUP($P26,$H$9:$K$13,(MATCH(AA$1,$I$8:$K$8,0))+1))&gt;0,(CONCATENATE((VLOOKUP($P26,$H$9:$K$13,(MATCH(AA$1,$I$8:$K$8,0))+1)),", ",VLOOKUP((VLOOKUP($P26,$H$9:$K$13,(MATCH(AA$1,$I$8:$K$8,0))+1)),$H$17:$M$35,2,FALSE))),"No Trip")</f>
        <v>No Trip</v>
      </c>
      <c r="AB26" s="956"/>
      <c r="AC26" s="956"/>
      <c r="AD26" s="957"/>
    </row>
    <row r="27" spans="1:30" ht="15.75" thickTop="1">
      <c r="A27" s="945"/>
      <c r="B27" s="946"/>
      <c r="C27" s="946"/>
      <c r="D27" s="946"/>
      <c r="E27" s="946"/>
      <c r="F27" s="947"/>
      <c r="H27" s="309"/>
      <c r="I27" s="312"/>
      <c r="J27" s="312"/>
      <c r="K27" s="310"/>
      <c r="L27" s="310"/>
      <c r="M27" s="310"/>
      <c r="N27" s="311"/>
      <c r="O27" s="279"/>
      <c r="P27" s="953"/>
      <c r="Q27" s="468" t="s">
        <v>302</v>
      </c>
      <c r="R27" s="480">
        <f>IF((VLOOKUP($P26,$H$9:$K$13,(MATCH(Q$1,$I$8:$K$8,0))+1))=0,,VLOOKUP(Q27,$M$2:$N$3,2,0))</f>
        <v>0</v>
      </c>
      <c r="S27" s="478" t="s">
        <v>303</v>
      </c>
      <c r="T27" s="479">
        <f>IF((VLOOKUP($P26,$H$9:$K$13,(MATCH(Q$1,$I$8:$K$8,0))+1))=0,,VLOOKUP(S27,$M$2:$N$3,2,0))</f>
        <v>0</v>
      </c>
      <c r="U27" s="280"/>
      <c r="V27" s="468" t="s">
        <v>302</v>
      </c>
      <c r="W27" s="480">
        <f>IF((VLOOKUP($P26,$H$9:$K$13,(MATCH(V$1,$I$8:$K$8,0))+1))=0,,VLOOKUP(V27,$M$2:$N$3,2,0))</f>
        <v>0</v>
      </c>
      <c r="X27" s="478" t="s">
        <v>303</v>
      </c>
      <c r="Y27" s="479">
        <f>IF((VLOOKUP($P26,$H$9:$K$13,(MATCH(V$1,$I$8:$K$8,0))+1))=0,,VLOOKUP(X27,$M$2:$N$3,2,0))</f>
        <v>0</v>
      </c>
      <c r="Z27" s="280"/>
      <c r="AA27" s="468" t="s">
        <v>302</v>
      </c>
      <c r="AB27" s="480">
        <f>IF((VLOOKUP($P26,$H$9:$K$13,(MATCH(AA$1,$I$8:$K$8,0))+1))=0,,VLOOKUP(AA27,$M$2:$N$3,2,0))</f>
        <v>0</v>
      </c>
      <c r="AC27" s="478" t="s">
        <v>303</v>
      </c>
      <c r="AD27" s="479">
        <f>IF((VLOOKUP($P26,$H$9:$K$13,(MATCH(AA$1,$I$8:$K$8,0))+1))=0,,VLOOKUP(AC27,$M$2:$N$3,2,0))</f>
        <v>0</v>
      </c>
    </row>
    <row r="28" spans="1:30" ht="15.75" thickBot="1">
      <c r="A28" s="945"/>
      <c r="B28" s="946"/>
      <c r="C28" s="946"/>
      <c r="D28" s="946"/>
      <c r="E28" s="946"/>
      <c r="F28" s="947"/>
      <c r="G28" s="272"/>
      <c r="H28" s="309"/>
      <c r="I28" s="312"/>
      <c r="J28" s="312"/>
      <c r="K28" s="310"/>
      <c r="L28" s="310"/>
      <c r="M28" s="310"/>
      <c r="N28" s="311"/>
      <c r="O28" s="272"/>
      <c r="P28" s="953"/>
      <c r="Q28" s="973" t="s">
        <v>304</v>
      </c>
      <c r="R28" s="974"/>
      <c r="S28" s="974"/>
      <c r="T28" s="474" t="s">
        <v>97</v>
      </c>
      <c r="U28" s="280"/>
      <c r="V28" s="973" t="s">
        <v>304</v>
      </c>
      <c r="W28" s="974"/>
      <c r="X28" s="974"/>
      <c r="Y28" s="474" t="s">
        <v>97</v>
      </c>
      <c r="Z28" s="280"/>
      <c r="AA28" s="973" t="s">
        <v>304</v>
      </c>
      <c r="AB28" s="974"/>
      <c r="AC28" s="974"/>
      <c r="AD28" s="474" t="s">
        <v>97</v>
      </c>
    </row>
    <row r="29" spans="1:30" ht="15.75" thickTop="1">
      <c r="A29" s="945"/>
      <c r="B29" s="946"/>
      <c r="C29" s="946"/>
      <c r="D29" s="946"/>
      <c r="E29" s="946"/>
      <c r="F29" s="947"/>
      <c r="G29" s="274"/>
      <c r="H29" s="309"/>
      <c r="I29" s="312"/>
      <c r="J29" s="312"/>
      <c r="K29" s="310"/>
      <c r="L29" s="310"/>
      <c r="M29" s="310"/>
      <c r="N29" s="311"/>
      <c r="O29" s="283"/>
      <c r="P29" s="953"/>
      <c r="Q29" s="961" t="s">
        <v>209</v>
      </c>
      <c r="R29" s="962"/>
      <c r="S29" s="470">
        <f>IF((VLOOKUP($P26,$H$9:$K$13,(MATCH(Q$1,$I$8:$K$8,0))+1))=0,,VLOOKUP((VLOOKUP($P26,$H$9:$K$13,(MATCH(Q$1,$I$8:$K$8,0))+1)),$H$17:$N$35,6,FALSE))</f>
        <v>0</v>
      </c>
      <c r="T29" s="286">
        <f>S29*T27</f>
        <v>0</v>
      </c>
      <c r="U29" s="272"/>
      <c r="V29" s="963" t="s">
        <v>209</v>
      </c>
      <c r="W29" s="964"/>
      <c r="X29" s="472">
        <f>IF((VLOOKUP($P26,$H$9:$K$13,(MATCH(V$1,$I$8:$K$8,0))+1))=0,,VLOOKUP((VLOOKUP($P26,$H$9:$K$13,(MATCH(V$1,$I$8:$K$8,0))+1)),$H$17:$N$35,6,FALSE))</f>
        <v>0</v>
      </c>
      <c r="Y29" s="287">
        <f>X29*Y27</f>
        <v>0</v>
      </c>
      <c r="Z29" s="272"/>
      <c r="AA29" s="961" t="s">
        <v>209</v>
      </c>
      <c r="AB29" s="962"/>
      <c r="AC29" s="470">
        <f>IF((VLOOKUP($P26,$H$9:$K$13,(MATCH(AA$1,$I$8:$K$8,0))+1))=0,,VLOOKUP((VLOOKUP($P26,$H$9:$K$13,(MATCH(AA$1,$I$8:$K$8,0))+1)),$H$17:$N$35,6,FALSE))</f>
        <v>0</v>
      </c>
      <c r="AD29" s="286">
        <f>AC29*AD27</f>
        <v>0</v>
      </c>
    </row>
    <row r="30" spans="1:30">
      <c r="A30" s="945"/>
      <c r="B30" s="946"/>
      <c r="C30" s="946"/>
      <c r="D30" s="946"/>
      <c r="E30" s="946"/>
      <c r="F30" s="947"/>
      <c r="G30" s="279"/>
      <c r="H30" s="309"/>
      <c r="I30" s="312"/>
      <c r="J30" s="312"/>
      <c r="K30" s="310"/>
      <c r="L30" s="310"/>
      <c r="M30" s="310"/>
      <c r="N30" s="311"/>
      <c r="O30" s="283"/>
      <c r="P30" s="953"/>
      <c r="Q30" s="965" t="s">
        <v>564</v>
      </c>
      <c r="R30" s="966"/>
      <c r="S30" s="475">
        <f>IF((VLOOKUP($P26,$H$9:$K$13,(MATCH(Q$1,$I$8:$K$8,0))+1))=0,,VLOOKUP((VLOOKUP($P26,$H$9:$K$13,(MATCH(Q$1,$I$8:$K$8,0))+1)),$H$17:$N$35,7,FALSE))</f>
        <v>0</v>
      </c>
      <c r="T30" s="476">
        <f>S30*T27</f>
        <v>0</v>
      </c>
      <c r="U30" s="283"/>
      <c r="V30" s="975" t="s">
        <v>564</v>
      </c>
      <c r="W30" s="976"/>
      <c r="X30" s="481">
        <f>IF((VLOOKUP($P26,$H$9:$K$13,(MATCH(V$1,$I$8:$K$8,0))+1))=0,,VLOOKUP((VLOOKUP($P26,$H$9:$K$13,(MATCH(V$1,$I$8:$K$8,0))+1)),$H$17:$N$35,7,FALSE))</f>
        <v>0</v>
      </c>
      <c r="Y30" s="482">
        <f>X30*Y27</f>
        <v>0</v>
      </c>
      <c r="Z30" s="283"/>
      <c r="AA30" s="965" t="s">
        <v>564</v>
      </c>
      <c r="AB30" s="966"/>
      <c r="AC30" s="475">
        <f>IF((VLOOKUP($P26,$H$9:$K$13,(MATCH(AA$1,$I$8:$K$8,0))+1))=0,,VLOOKUP((VLOOKUP($P26,$H$9:$K$13,(MATCH(AA$1,$I$8:$K$8,0))+1)),$H$17:$N$35,7,FALSE))</f>
        <v>0</v>
      </c>
      <c r="AD30" s="476">
        <f>AC30*AD27</f>
        <v>0</v>
      </c>
    </row>
    <row r="31" spans="1:30" ht="15.75" customHeight="1">
      <c r="A31" s="945"/>
      <c r="B31" s="946"/>
      <c r="C31" s="946"/>
      <c r="D31" s="946"/>
      <c r="E31" s="946"/>
      <c r="F31" s="947"/>
      <c r="G31" s="279"/>
      <c r="H31" s="309"/>
      <c r="I31" s="312"/>
      <c r="J31" s="312"/>
      <c r="K31" s="310"/>
      <c r="L31" s="310"/>
      <c r="M31" s="310"/>
      <c r="N31" s="311"/>
      <c r="O31" s="283"/>
      <c r="P31" s="953"/>
      <c r="Q31" s="967" t="s">
        <v>308</v>
      </c>
      <c r="R31" s="968"/>
      <c r="S31" s="470">
        <f>IF((VLOOKUP($P26,$H$9:$K$13,(MATCH(Q$1,$I$8:$K$8,0))+1))=0,,VLOOKUP((VLOOKUP($P26,$H$9:$K$13,(MATCH(Q$1,$I$8:$K$8,0))+1)),$H$16:$N$35,4,FALSE))</f>
        <v>0</v>
      </c>
      <c r="T31" s="286">
        <f>S31*T27*(R27-1)</f>
        <v>0</v>
      </c>
      <c r="U31" s="283"/>
      <c r="V31" s="979" t="s">
        <v>308</v>
      </c>
      <c r="W31" s="980"/>
      <c r="X31" s="472">
        <f>IF((VLOOKUP($P26,$H$9:$K$13,(MATCH(V$1,$I$8:$K$8,0))+1))=0,,VLOOKUP((VLOOKUP($P26,$H$9:$K$13,(MATCH(V$1,$I$8:$K$8,0))+1)),$H$16:$N$35,4,FALSE))</f>
        <v>0</v>
      </c>
      <c r="Y31" s="287">
        <f>X31*Y27*(W27-1)</f>
        <v>0</v>
      </c>
      <c r="Z31" s="283"/>
      <c r="AA31" s="967" t="s">
        <v>308</v>
      </c>
      <c r="AB31" s="968"/>
      <c r="AC31" s="470">
        <f>IF((VLOOKUP($P26,$H$9:$K$13,(MATCH(AA$1,$I$8:$K$8,0))+1))=0,,VLOOKUP((VLOOKUP($P26,$H$9:$K$13,(MATCH(AA$1,$I$8:$K$8,0))+1)),$H$16:$N$35,4,FALSE))</f>
        <v>0</v>
      </c>
      <c r="AD31" s="286">
        <f>AC31*AD27*(AB27-1)</f>
        <v>0</v>
      </c>
    </row>
    <row r="32" spans="1:30" ht="15.75" customHeight="1" thickBot="1">
      <c r="A32" s="945"/>
      <c r="B32" s="946"/>
      <c r="C32" s="946"/>
      <c r="D32" s="946"/>
      <c r="E32" s="946"/>
      <c r="F32" s="947"/>
      <c r="G32" s="279"/>
      <c r="H32" s="309"/>
      <c r="I32" s="312"/>
      <c r="J32" s="312"/>
      <c r="K32" s="310"/>
      <c r="L32" s="310"/>
      <c r="M32" s="310"/>
      <c r="N32" s="311"/>
      <c r="O32" s="283"/>
      <c r="P32" s="953"/>
      <c r="Q32" s="969" t="s">
        <v>309</v>
      </c>
      <c r="R32" s="970"/>
      <c r="S32" s="471">
        <f>IF((VLOOKUP($P26,$H$9:$K$13,(MATCH(Q$1,$I$8:$K$8,0))+1))=0,,VLOOKUP((VLOOKUP($P26,$H$9:$K$13,(MATCH(Q$1,$I$8:$K$8,0))+1)),$H$16:$N$35,5,FALSE))</f>
        <v>0</v>
      </c>
      <c r="T32" s="292">
        <f>S32*(R27-(2*0.25))*T27</f>
        <v>0</v>
      </c>
      <c r="U32" s="283"/>
      <c r="V32" s="977" t="s">
        <v>309</v>
      </c>
      <c r="W32" s="978"/>
      <c r="X32" s="473">
        <f>IF((VLOOKUP($P26,$H$9:$K$13,(MATCH(V$1,$I$8:$K$8,0))+1))=0,,VLOOKUP((VLOOKUP($P26,$H$9:$K$13,(MATCH(V$1,$I$8:$K$8,0))+1)),$H$16:$N$35,5,FALSE))</f>
        <v>0</v>
      </c>
      <c r="Y32" s="293">
        <f>X32*(W27-(2*0.25))*Y27</f>
        <v>0</v>
      </c>
      <c r="Z32" s="283"/>
      <c r="AA32" s="969" t="s">
        <v>309</v>
      </c>
      <c r="AB32" s="970"/>
      <c r="AC32" s="471">
        <f>IF((VLOOKUP($P26,$H$9:$K$13,(MATCH(AA$1,$I$8:$K$8,0))+1))=0,,VLOOKUP((VLOOKUP($P26,$H$9:$K$13,(MATCH(AA$1,$I$8:$K$8,0))+1)),$H$16:$N$35,5,FALSE))</f>
        <v>0</v>
      </c>
      <c r="AD32" s="292">
        <f>AC32*(AB27-(2*0.25))*AD27</f>
        <v>0</v>
      </c>
    </row>
    <row r="33" spans="1:30" ht="16.5" thickTop="1" thickBot="1">
      <c r="A33" s="945"/>
      <c r="B33" s="946"/>
      <c r="C33" s="946"/>
      <c r="D33" s="946"/>
      <c r="E33" s="946"/>
      <c r="F33" s="947"/>
      <c r="G33" s="279"/>
      <c r="H33" s="309"/>
      <c r="I33" s="312"/>
      <c r="J33" s="312"/>
      <c r="K33" s="310"/>
      <c r="L33" s="310"/>
      <c r="M33" s="310"/>
      <c r="N33" s="311"/>
      <c r="P33" s="954"/>
      <c r="Q33" s="971" t="str">
        <f>IF((VLOOKUP($P26,$H$9:$K$13,(MATCH(Q$1,$I$8:$K$8,0))+1))=0,"",VLOOKUP((VLOOKUP($P26,$H$9:$K$13,(MATCH(Q$1,$I$8:$K$8,0))+1)),$H$17:$M$35,3,FALSE))</f>
        <v/>
      </c>
      <c r="R33" s="972"/>
      <c r="S33" s="477" t="s">
        <v>565</v>
      </c>
      <c r="T33" s="298">
        <f>SUM(T29:T32)</f>
        <v>0</v>
      </c>
      <c r="U33" s="299"/>
      <c r="V33" s="971" t="str">
        <f>IF((VLOOKUP($P26,$H$9:$K$13,(MATCH(V$1,$I$8:$K$8,0))+1))=0,"",VLOOKUP((VLOOKUP($P26,$H$9:$K$13,(MATCH(V$1,$I$8:$K$8,0))+1)),$H$17:$M$35,3,FALSE))</f>
        <v/>
      </c>
      <c r="W33" s="972"/>
      <c r="X33" s="477" t="s">
        <v>565</v>
      </c>
      <c r="Y33" s="298">
        <f>SUM(Y29:Y32)</f>
        <v>0</v>
      </c>
      <c r="Z33" s="299"/>
      <c r="AA33" s="971" t="str">
        <f>IF((VLOOKUP($P26,$H$9:$K$13,(MATCH(AA$1,$I$8:$K$8,0))+1))=0,"",VLOOKUP((VLOOKUP($P26,$H$9:$K$13,(MATCH(AA$1,$I$8:$K$8,0))+1)),$H$17:$M$35,3,FALSE))</f>
        <v/>
      </c>
      <c r="AB33" s="972"/>
      <c r="AC33" s="477" t="s">
        <v>565</v>
      </c>
      <c r="AD33" s="298">
        <f>SUM(AD29:AD32)</f>
        <v>0</v>
      </c>
    </row>
    <row r="34" spans="1:30" ht="15.75" customHeight="1" thickBot="1">
      <c r="A34" s="945"/>
      <c r="B34" s="946"/>
      <c r="C34" s="946"/>
      <c r="D34" s="946"/>
      <c r="E34" s="946"/>
      <c r="F34" s="947"/>
      <c r="G34" s="272"/>
      <c r="H34" s="309"/>
      <c r="I34" s="312"/>
      <c r="J34" s="312"/>
      <c r="K34" s="310"/>
      <c r="L34" s="310"/>
      <c r="M34" s="310"/>
      <c r="N34" s="311"/>
      <c r="O34" s="272"/>
      <c r="P34" s="952" t="s">
        <v>450</v>
      </c>
      <c r="Q34" s="955" t="str">
        <f>IF((VLOOKUP($P34,$H$9:$K$13,(MATCH(Q$1,$I$8:$K$8,0))+1))&gt;0,(CONCATENATE((VLOOKUP($P34,$H$9:$K$13,(MATCH(Q$1,$I$8:$K$8,0))+1)),", ",VLOOKUP((VLOOKUP($P34,$H$9:$K$13,(MATCH(Q$1,$I$8:$K$8,0))+1)),$H$17:$M$35,2,FALSE))),"No Trip")</f>
        <v>No Trip</v>
      </c>
      <c r="R34" s="956"/>
      <c r="S34" s="956"/>
      <c r="T34" s="957"/>
      <c r="U34" s="278"/>
      <c r="V34" s="955" t="str">
        <f>IF((VLOOKUP($P34,$H$9:$K$13,(MATCH(V$1,$I$8:$K$8,0))+1))&gt;0,(CONCATENATE((VLOOKUP($P34,$H$9:$K$13,(MATCH(V$1,$I$8:$K$8,0))+1)),", ",VLOOKUP((VLOOKUP($P34,$H$9:$K$13,(MATCH(V$1,$I$8:$K$8,0))+1)),$H$17:$M$35,2,FALSE))),"No Trip")</f>
        <v>No Trip</v>
      </c>
      <c r="W34" s="956"/>
      <c r="X34" s="956"/>
      <c r="Y34" s="957"/>
      <c r="Z34" s="278"/>
      <c r="AA34" s="955" t="str">
        <f>IF((VLOOKUP($P34,$H$9:$K$13,(MATCH(AA$1,$I$8:$K$8,0))+1))&gt;0,(CONCATENATE((VLOOKUP($P34,$H$9:$K$13,(MATCH(AA$1,$I$8:$K$8,0))+1)),", ",VLOOKUP((VLOOKUP($P34,$H$9:$K$13,(MATCH(AA$1,$I$8:$K$8,0))+1)),$H$17:$M$35,2,FALSE))),"No Trip")</f>
        <v>No Trip</v>
      </c>
      <c r="AB34" s="956"/>
      <c r="AC34" s="956"/>
      <c r="AD34" s="957"/>
    </row>
    <row r="35" spans="1:30" ht="16.5" thickTop="1" thickBot="1">
      <c r="A35" s="948"/>
      <c r="B35" s="949"/>
      <c r="C35" s="949"/>
      <c r="D35" s="949"/>
      <c r="E35" s="949"/>
      <c r="F35" s="950"/>
      <c r="G35" s="283"/>
      <c r="H35" s="313"/>
      <c r="I35" s="314"/>
      <c r="J35" s="314"/>
      <c r="K35" s="315"/>
      <c r="L35" s="315"/>
      <c r="M35" s="315"/>
      <c r="N35" s="316"/>
      <c r="O35" s="274"/>
      <c r="P35" s="953"/>
      <c r="Q35" s="468" t="s">
        <v>302</v>
      </c>
      <c r="R35" s="480">
        <f>IF((VLOOKUP($P34,$H$9:$K$13,(MATCH(Q$1,$I$8:$K$8,0))+1))=0,,VLOOKUP(Q35,$M$2:$N$3,2,0))</f>
        <v>0</v>
      </c>
      <c r="S35" s="478" t="s">
        <v>303</v>
      </c>
      <c r="T35" s="479">
        <f>IF((VLOOKUP($P34,$H$9:$K$13,(MATCH(Q$1,$I$8:$K$8,0))+1))=0,,VLOOKUP(S35,$M$2:$N$3,2,0))</f>
        <v>0</v>
      </c>
      <c r="U35" s="280"/>
      <c r="V35" s="468" t="s">
        <v>302</v>
      </c>
      <c r="W35" s="480">
        <f>IF((VLOOKUP($P34,$H$9:$K$13,(MATCH(V$1,$I$8:$K$8,0))+1))=0,,VLOOKUP(V35,$M$2:$N$3,2,0))</f>
        <v>0</v>
      </c>
      <c r="X35" s="478" t="s">
        <v>303</v>
      </c>
      <c r="Y35" s="479">
        <f>IF((VLOOKUP($P34,$H$9:$K$13,(MATCH(V$1,$I$8:$K$8,0))+1))=0,,VLOOKUP(X35,$M$2:$N$3,2,0))</f>
        <v>0</v>
      </c>
      <c r="Z35" s="280"/>
      <c r="AA35" s="468" t="s">
        <v>302</v>
      </c>
      <c r="AB35" s="480">
        <f>IF((VLOOKUP($P34,$H$9:$K$13,(MATCH(AA$1,$I$8:$K$8,0))+1))=0,,VLOOKUP(AA35,$M$2:$N$3,2,0))</f>
        <v>0</v>
      </c>
      <c r="AC35" s="478" t="s">
        <v>303</v>
      </c>
      <c r="AD35" s="479">
        <f>IF((VLOOKUP($P34,$H$9:$K$13,(MATCH(AA$1,$I$8:$K$8,0))+1))=0,,VLOOKUP(AC35,$M$2:$N$3,2,0))</f>
        <v>0</v>
      </c>
    </row>
    <row r="36" spans="1:30" ht="15.75" thickBot="1">
      <c r="G36" s="283"/>
      <c r="O36" s="279"/>
      <c r="P36" s="953"/>
      <c r="Q36" s="973" t="s">
        <v>304</v>
      </c>
      <c r="R36" s="974"/>
      <c r="S36" s="974"/>
      <c r="T36" s="474" t="s">
        <v>97</v>
      </c>
      <c r="U36" s="280"/>
      <c r="V36" s="973" t="s">
        <v>304</v>
      </c>
      <c r="W36" s="974"/>
      <c r="X36" s="974"/>
      <c r="Y36" s="474" t="s">
        <v>97</v>
      </c>
      <c r="Z36" s="280"/>
      <c r="AA36" s="973" t="s">
        <v>304</v>
      </c>
      <c r="AB36" s="974"/>
      <c r="AC36" s="974"/>
      <c r="AD36" s="474" t="s">
        <v>97</v>
      </c>
    </row>
    <row r="37" spans="1:30" ht="16.5" thickTop="1" thickBot="1">
      <c r="A37" s="984" t="s">
        <v>315</v>
      </c>
      <c r="B37" s="985"/>
      <c r="C37" s="985"/>
      <c r="D37" s="985"/>
      <c r="E37" s="985"/>
      <c r="F37" s="986"/>
      <c r="G37" s="283"/>
      <c r="H37" s="936" t="s">
        <v>316</v>
      </c>
      <c r="I37" s="937"/>
      <c r="J37" s="937"/>
      <c r="K37" s="937"/>
      <c r="L37" s="937"/>
      <c r="M37" s="937"/>
      <c r="N37" s="938"/>
      <c r="O37" s="279"/>
      <c r="P37" s="953"/>
      <c r="Q37" s="961" t="s">
        <v>209</v>
      </c>
      <c r="R37" s="962"/>
      <c r="S37" s="470">
        <f>IF((VLOOKUP($P34,$H$9:$K$13,(MATCH(Q$1,$I$8:$K$8,0))+1))=0,,VLOOKUP((VLOOKUP($P34,$H$9:$K$13,(MATCH(Q$1,$I$8:$K$8,0))+1)),$H$17:$N$35,6,FALSE))</f>
        <v>0</v>
      </c>
      <c r="T37" s="286">
        <f>S37*T35</f>
        <v>0</v>
      </c>
      <c r="U37" s="272"/>
      <c r="V37" s="963" t="s">
        <v>209</v>
      </c>
      <c r="W37" s="964"/>
      <c r="X37" s="472">
        <f>IF((VLOOKUP($P34,$H$9:$K$13,(MATCH(V$1,$I$8:$K$8,0))+1))=0,,VLOOKUP((VLOOKUP($P34,$H$9:$K$13,(MATCH(V$1,$I$8:$K$8,0))+1)),$H$17:$N$35,6,FALSE))</f>
        <v>0</v>
      </c>
      <c r="Y37" s="287">
        <f>X37*Y35</f>
        <v>0</v>
      </c>
      <c r="Z37" s="272"/>
      <c r="AA37" s="961" t="s">
        <v>209</v>
      </c>
      <c r="AB37" s="962"/>
      <c r="AC37" s="470">
        <f>IF((VLOOKUP($P34,$H$9:$K$13,(MATCH(AA$1,$I$8:$K$8,0))+1))=0,,VLOOKUP((VLOOKUP($P34,$H$9:$K$13,(MATCH(AA$1,$I$8:$K$8,0))+1)),$H$17:$N$35,6,FALSE))</f>
        <v>0</v>
      </c>
      <c r="AD37" s="286">
        <f>AC37*AD35</f>
        <v>0</v>
      </c>
    </row>
    <row r="38" spans="1:30" ht="15.75" thickTop="1">
      <c r="A38" s="987"/>
      <c r="B38" s="988"/>
      <c r="C38" s="988"/>
      <c r="D38" s="988"/>
      <c r="E38" s="988"/>
      <c r="F38" s="989"/>
      <c r="G38" s="283"/>
      <c r="H38" s="317" t="s">
        <v>306</v>
      </c>
      <c r="I38" s="981" t="s">
        <v>317</v>
      </c>
      <c r="J38" s="982"/>
      <c r="K38" s="982"/>
      <c r="L38" s="982"/>
      <c r="M38" s="982"/>
      <c r="N38" s="983"/>
      <c r="O38" s="279"/>
      <c r="P38" s="953"/>
      <c r="Q38" s="965" t="s">
        <v>564</v>
      </c>
      <c r="R38" s="966"/>
      <c r="S38" s="475">
        <f>IF((VLOOKUP($P34,$H$9:$K$13,(MATCH(Q$1,$I$8:$K$8,0))+1))=0,,VLOOKUP((VLOOKUP($P34,$H$9:$K$13,(MATCH(Q$1,$I$8:$K$8,0))+1)),$H$17:$N$35,7,FALSE))</f>
        <v>0</v>
      </c>
      <c r="T38" s="476">
        <f>S38*T35</f>
        <v>0</v>
      </c>
      <c r="U38" s="283"/>
      <c r="V38" s="975" t="s">
        <v>564</v>
      </c>
      <c r="W38" s="976"/>
      <c r="X38" s="481">
        <f>IF((VLOOKUP($P34,$H$9:$K$13,(MATCH(V$1,$I$8:$K$8,0))+1))=0,,VLOOKUP((VLOOKUP($P34,$H$9:$K$13,(MATCH(V$1,$I$8:$K$8,0))+1)),$H$17:$N$35,7,FALSE))</f>
        <v>0</v>
      </c>
      <c r="Y38" s="482">
        <f>X38*Y35</f>
        <v>0</v>
      </c>
      <c r="Z38" s="283"/>
      <c r="AA38" s="965" t="s">
        <v>564</v>
      </c>
      <c r="AB38" s="966"/>
      <c r="AC38" s="475">
        <f>IF((VLOOKUP($P34,$H$9:$K$13,(MATCH(AA$1,$I$8:$K$8,0))+1))=0,,VLOOKUP((VLOOKUP($P34,$H$9:$K$13,(MATCH(AA$1,$I$8:$K$8,0))+1)),$H$17:$N$35,7,FALSE))</f>
        <v>0</v>
      </c>
      <c r="AD38" s="476">
        <f>AC38*AD35</f>
        <v>0</v>
      </c>
    </row>
    <row r="39" spans="1:30">
      <c r="A39" s="987"/>
      <c r="B39" s="988"/>
      <c r="C39" s="988"/>
      <c r="D39" s="988"/>
      <c r="E39" s="988"/>
      <c r="F39" s="989"/>
      <c r="H39" s="317" t="s">
        <v>306</v>
      </c>
      <c r="I39" s="981" t="s">
        <v>318</v>
      </c>
      <c r="J39" s="982"/>
      <c r="K39" s="982"/>
      <c r="L39" s="982"/>
      <c r="M39" s="982"/>
      <c r="N39" s="983"/>
      <c r="O39" s="272"/>
      <c r="P39" s="953"/>
      <c r="Q39" s="967" t="s">
        <v>308</v>
      </c>
      <c r="R39" s="968"/>
      <c r="S39" s="470">
        <f>IF((VLOOKUP($P34,$H$9:$K$13,(MATCH(Q$1,$I$8:$K$8,0))+1))=0,,VLOOKUP((VLOOKUP($P34,$H$9:$K$13,(MATCH(Q$1,$I$8:$K$8,0))+1)),$H$16:$N$35,4,FALSE))</f>
        <v>0</v>
      </c>
      <c r="T39" s="286">
        <f>S39*T35*(R35-1)</f>
        <v>0</v>
      </c>
      <c r="U39" s="283"/>
      <c r="V39" s="979" t="s">
        <v>308</v>
      </c>
      <c r="W39" s="980"/>
      <c r="X39" s="472">
        <f>IF((VLOOKUP($P34,$H$9:$K$13,(MATCH(V$1,$I$8:$K$8,0))+1))=0,,VLOOKUP((VLOOKUP($P34,$H$9:$K$13,(MATCH(V$1,$I$8:$K$8,0))+1)),$H$16:$N$35,4,FALSE))</f>
        <v>0</v>
      </c>
      <c r="Y39" s="287">
        <f>X39*Y35*(W35-1)</f>
        <v>0</v>
      </c>
      <c r="Z39" s="283"/>
      <c r="AA39" s="967" t="s">
        <v>308</v>
      </c>
      <c r="AB39" s="968"/>
      <c r="AC39" s="470">
        <f>IF((VLOOKUP($P34,$H$9:$K$13,(MATCH(AA$1,$I$8:$K$8,0))+1))=0,,VLOOKUP((VLOOKUP($P34,$H$9:$K$13,(MATCH(AA$1,$I$8:$K$8,0))+1)),$H$16:$N$35,4,FALSE))</f>
        <v>0</v>
      </c>
      <c r="AD39" s="286">
        <f>AC39*AD35*(AB35-1)</f>
        <v>0</v>
      </c>
    </row>
    <row r="40" spans="1:30" ht="15.75" thickBot="1">
      <c r="A40" s="987"/>
      <c r="B40" s="988"/>
      <c r="C40" s="988"/>
      <c r="D40" s="988"/>
      <c r="E40" s="988"/>
      <c r="F40" s="989"/>
      <c r="G40" s="272"/>
      <c r="H40" s="317" t="s">
        <v>307</v>
      </c>
      <c r="I40" s="981" t="s">
        <v>319</v>
      </c>
      <c r="J40" s="982"/>
      <c r="K40" s="982"/>
      <c r="L40" s="982"/>
      <c r="M40" s="982"/>
      <c r="N40" s="983"/>
      <c r="O40" s="283"/>
      <c r="P40" s="953"/>
      <c r="Q40" s="969" t="s">
        <v>309</v>
      </c>
      <c r="R40" s="970"/>
      <c r="S40" s="471">
        <f>IF((VLOOKUP($P34,$H$9:$K$13,(MATCH(Q$1,$I$8:$K$8,0))+1))=0,,VLOOKUP((VLOOKUP($P34,$H$9:$K$13,(MATCH(Q$1,$I$8:$K$8,0))+1)),$H$16:$N$35,5,FALSE))</f>
        <v>0</v>
      </c>
      <c r="T40" s="292">
        <f>S40*(R35-(2*0.25))*T35</f>
        <v>0</v>
      </c>
      <c r="U40" s="283"/>
      <c r="V40" s="977" t="s">
        <v>309</v>
      </c>
      <c r="W40" s="978"/>
      <c r="X40" s="473">
        <f>IF((VLOOKUP($P34,$H$9:$K$13,(MATCH(V$1,$I$8:$K$8,0))+1))=0,,VLOOKUP((VLOOKUP($P34,$H$9:$K$13,(MATCH(V$1,$I$8:$K$8,0))+1)),$H$16:$N$35,5,FALSE))</f>
        <v>0</v>
      </c>
      <c r="Y40" s="293">
        <f>X40*(W35-(2*0.25))*Y35</f>
        <v>0</v>
      </c>
      <c r="Z40" s="283"/>
      <c r="AA40" s="969" t="s">
        <v>309</v>
      </c>
      <c r="AB40" s="970"/>
      <c r="AC40" s="471">
        <f>IF((VLOOKUP($P34,$H$9:$K$13,(MATCH(AA$1,$I$8:$K$8,0))+1))=0,,VLOOKUP((VLOOKUP($P34,$H$9:$K$13,(MATCH(AA$1,$I$8:$K$8,0))+1)),$H$16:$N$35,5,FALSE))</f>
        <v>0</v>
      </c>
      <c r="AD40" s="292">
        <f>AC40*(AB35-(2*0.25))*AD35</f>
        <v>0</v>
      </c>
    </row>
    <row r="41" spans="1:30" ht="16.5" thickTop="1" thickBot="1">
      <c r="A41" s="990"/>
      <c r="B41" s="991"/>
      <c r="C41" s="991"/>
      <c r="D41" s="991"/>
      <c r="E41" s="991"/>
      <c r="F41" s="992"/>
      <c r="G41" s="274"/>
      <c r="H41" s="303"/>
      <c r="I41" s="994" t="s">
        <v>320</v>
      </c>
      <c r="J41" s="995"/>
      <c r="K41" s="995"/>
      <c r="L41" s="995"/>
      <c r="M41" s="995"/>
      <c r="N41" s="996"/>
      <c r="O41" s="283"/>
      <c r="P41" s="954"/>
      <c r="Q41" s="971" t="str">
        <f>IF((VLOOKUP($P34,$H$9:$K$13,(MATCH(Q$1,$I$8:$K$8,0))+1))=0,"",VLOOKUP((VLOOKUP($P34,$H$9:$K$13,(MATCH(Q$1,$I$8:$K$8,0))+1)),$H$17:$M$35,3,FALSE))</f>
        <v/>
      </c>
      <c r="R41" s="972"/>
      <c r="S41" s="477" t="s">
        <v>565</v>
      </c>
      <c r="T41" s="298">
        <f>SUM(T37:T40)</f>
        <v>0</v>
      </c>
      <c r="U41" s="299"/>
      <c r="V41" s="971" t="str">
        <f>IF((VLOOKUP($P34,$H$9:$K$13,(MATCH(V$1,$I$8:$K$8,0))+1))=0,"",VLOOKUP((VLOOKUP($P34,$H$9:$K$13,(MATCH(V$1,$I$8:$K$8,0))+1)),$H$17:$M$35,3,FALSE))</f>
        <v/>
      </c>
      <c r="W41" s="972"/>
      <c r="X41" s="477" t="s">
        <v>565</v>
      </c>
      <c r="Y41" s="298">
        <f>SUM(Y37:Y40)</f>
        <v>0</v>
      </c>
      <c r="Z41" s="299"/>
      <c r="AA41" s="971" t="str">
        <f>IF((VLOOKUP($P34,$H$9:$K$13,(MATCH(AA$1,$I$8:$K$8,0))+1))=0,"",VLOOKUP((VLOOKUP($P34,$H$9:$K$13,(MATCH(AA$1,$I$8:$K$8,0))+1)),$H$17:$M$35,3,FALSE))</f>
        <v/>
      </c>
      <c r="AB41" s="972"/>
      <c r="AC41" s="477" t="s">
        <v>565</v>
      </c>
      <c r="AD41" s="298">
        <f>SUM(AD37:AD40)</f>
        <v>0</v>
      </c>
    </row>
    <row r="42" spans="1:30" ht="15.75" customHeight="1">
      <c r="G42" s="279"/>
      <c r="O42" s="283"/>
    </row>
    <row r="43" spans="1:30">
      <c r="G43" s="279"/>
      <c r="O43" s="283"/>
    </row>
    <row r="44" spans="1:30">
      <c r="G44" s="279"/>
    </row>
    <row r="45" spans="1:30">
      <c r="O45" s="272"/>
    </row>
    <row r="46" spans="1:30">
      <c r="O46" s="274"/>
    </row>
    <row r="47" spans="1:30">
      <c r="O47" s="279"/>
    </row>
    <row r="48" spans="1:30">
      <c r="O48" s="279"/>
    </row>
    <row r="49" spans="7:15">
      <c r="G49" s="283"/>
      <c r="O49" s="279"/>
    </row>
    <row r="50" spans="7:15" ht="15.75" customHeight="1">
      <c r="G50" s="283"/>
      <c r="M50" s="318"/>
      <c r="N50" s="318"/>
    </row>
    <row r="60" spans="7:15">
      <c r="M60" s="318"/>
      <c r="N60" s="318"/>
    </row>
    <row r="70" spans="13:14">
      <c r="M70" s="318"/>
      <c r="N70" s="318"/>
    </row>
  </sheetData>
  <dataConsolidate/>
  <mergeCells count="128">
    <mergeCell ref="AA28:AC28"/>
    <mergeCell ref="Q30:R30"/>
    <mergeCell ref="V30:W30"/>
    <mergeCell ref="AA30:AB30"/>
    <mergeCell ref="Q24:R24"/>
    <mergeCell ref="V24:W24"/>
    <mergeCell ref="AA24:AB24"/>
    <mergeCell ref="Q25:R25"/>
    <mergeCell ref="V25:W25"/>
    <mergeCell ref="AA25:AB25"/>
    <mergeCell ref="AA26:AD26"/>
    <mergeCell ref="AA4:AC4"/>
    <mergeCell ref="AA6:AB6"/>
    <mergeCell ref="AA7:AB7"/>
    <mergeCell ref="AA8:AB8"/>
    <mergeCell ref="AA9:AB9"/>
    <mergeCell ref="AA21:AB21"/>
    <mergeCell ref="AA5:AB5"/>
    <mergeCell ref="AA10:AD10"/>
    <mergeCell ref="AA12:AC12"/>
    <mergeCell ref="V6:W6"/>
    <mergeCell ref="V7:W7"/>
    <mergeCell ref="V8:W8"/>
    <mergeCell ref="H1:N1"/>
    <mergeCell ref="H37:N37"/>
    <mergeCell ref="I38:N38"/>
    <mergeCell ref="I39:N39"/>
    <mergeCell ref="V9:W9"/>
    <mergeCell ref="V12:X12"/>
    <mergeCell ref="Q5:R5"/>
    <mergeCell ref="V5:W5"/>
    <mergeCell ref="I4:L5"/>
    <mergeCell ref="Q4:S4"/>
    <mergeCell ref="Q20:S20"/>
    <mergeCell ref="V20:X20"/>
    <mergeCell ref="Q22:R22"/>
    <mergeCell ref="V22:W22"/>
    <mergeCell ref="Q28:S28"/>
    <mergeCell ref="V28:X28"/>
    <mergeCell ref="Q33:R33"/>
    <mergeCell ref="V33:W33"/>
    <mergeCell ref="Q36:S36"/>
    <mergeCell ref="V36:X36"/>
    <mergeCell ref="Q31:R31"/>
    <mergeCell ref="I40:N40"/>
    <mergeCell ref="A37:F41"/>
    <mergeCell ref="Q37:R37"/>
    <mergeCell ref="V37:W37"/>
    <mergeCell ref="A15:F35"/>
    <mergeCell ref="P26:P33"/>
    <mergeCell ref="P18:P25"/>
    <mergeCell ref="Q18:T18"/>
    <mergeCell ref="V18:Y18"/>
    <mergeCell ref="I41:N41"/>
    <mergeCell ref="Q15:R15"/>
    <mergeCell ref="V15:W15"/>
    <mergeCell ref="Q21:R21"/>
    <mergeCell ref="V21:W21"/>
    <mergeCell ref="Q26:T26"/>
    <mergeCell ref="V26:Y26"/>
    <mergeCell ref="Q23:R23"/>
    <mergeCell ref="V23:W23"/>
    <mergeCell ref="V31:W31"/>
    <mergeCell ref="Q32:R32"/>
    <mergeCell ref="V32:W32"/>
    <mergeCell ref="Q40:R40"/>
    <mergeCell ref="V40:W40"/>
    <mergeCell ref="Q41:R41"/>
    <mergeCell ref="AA37:AB37"/>
    <mergeCell ref="P34:P41"/>
    <mergeCell ref="Q34:T34"/>
    <mergeCell ref="V34:Y34"/>
    <mergeCell ref="AA34:AD34"/>
    <mergeCell ref="Q38:R38"/>
    <mergeCell ref="Q29:R29"/>
    <mergeCell ref="V29:W29"/>
    <mergeCell ref="AA29:AB29"/>
    <mergeCell ref="AA33:AB33"/>
    <mergeCell ref="AA36:AC36"/>
    <mergeCell ref="AA31:AB31"/>
    <mergeCell ref="AA32:AB32"/>
    <mergeCell ref="AA40:AB40"/>
    <mergeCell ref="V41:W41"/>
    <mergeCell ref="AA41:AB41"/>
    <mergeCell ref="V38:W38"/>
    <mergeCell ref="AA38:AB38"/>
    <mergeCell ref="Q39:R39"/>
    <mergeCell ref="V39:W39"/>
    <mergeCell ref="AA39:AB39"/>
    <mergeCell ref="AA23:AB23"/>
    <mergeCell ref="AA13:AB13"/>
    <mergeCell ref="AA18:AD18"/>
    <mergeCell ref="Q14:R14"/>
    <mergeCell ref="V14:W14"/>
    <mergeCell ref="AA14:AB14"/>
    <mergeCell ref="AA15:AB15"/>
    <mergeCell ref="Q16:R16"/>
    <mergeCell ref="V16:W16"/>
    <mergeCell ref="AA16:AB16"/>
    <mergeCell ref="Q17:R17"/>
    <mergeCell ref="V17:W17"/>
    <mergeCell ref="AA17:AB17"/>
    <mergeCell ref="AA20:AC20"/>
    <mergeCell ref="AA22:AB22"/>
    <mergeCell ref="A1:F1"/>
    <mergeCell ref="Q1:T1"/>
    <mergeCell ref="V1:Y1"/>
    <mergeCell ref="AA1:AD1"/>
    <mergeCell ref="A2:F4"/>
    <mergeCell ref="I2:K2"/>
    <mergeCell ref="P2:P9"/>
    <mergeCell ref="Q2:T2"/>
    <mergeCell ref="AA2:AD2"/>
    <mergeCell ref="I3:K3"/>
    <mergeCell ref="A6:F13"/>
    <mergeCell ref="P10:P17"/>
    <mergeCell ref="Q10:T10"/>
    <mergeCell ref="V10:Y10"/>
    <mergeCell ref="Q13:R13"/>
    <mergeCell ref="V13:W13"/>
    <mergeCell ref="H7:N7"/>
    <mergeCell ref="Q6:R6"/>
    <mergeCell ref="Q7:R7"/>
    <mergeCell ref="Q8:R8"/>
    <mergeCell ref="Q9:R9"/>
    <mergeCell ref="Q12:S12"/>
    <mergeCell ref="V2:Y2"/>
    <mergeCell ref="V4:X4"/>
  </mergeCells>
  <dataValidations count="2">
    <dataValidation type="list" allowBlank="1" showInputMessage="1" showErrorMessage="1" sqref="J17:J35" xr:uid="{00000000-0002-0000-0A00-000000000000}">
      <formula1>$L$8:$M$8</formula1>
    </dataValidation>
    <dataValidation type="list" allowBlank="1" showDropDown="1" showInputMessage="1" showErrorMessage="1" sqref="I9:K13" xr:uid="{00000000-0002-0000-0A00-000001000000}">
      <formula1>$H$17:$H$35</formula1>
    </dataValidation>
  </dataValidations>
  <hyperlinks>
    <hyperlink ref="I38:J38" r:id="rId1" display="Continental US (CONUS) (GSA)" xr:uid="{00000000-0004-0000-0A00-000000000000}"/>
    <hyperlink ref="I39:J39" r:id="rId2" display="Alaska, Hawaii (DoD)" xr:uid="{00000000-0004-0000-0A00-000001000000}"/>
    <hyperlink ref="I40:J40" r:id="rId3" display="Foreign (State Dept.)" xr:uid="{00000000-0004-0000-0A00-000002000000}"/>
    <hyperlink ref="I39:K39" r:id="rId4" display="Alaska, Hawaii, Overseas Territories (DoD)" xr:uid="{00000000-0004-0000-0A00-000003000000}"/>
    <hyperlink ref="I41:L41" r:id="rId5" display="Northwestern University Travel Services" xr:uid="{00000000-0004-0000-0A00-000004000000}"/>
    <hyperlink ref="I39:L39" r:id="rId6" display="DoD Alaska, Hawaii, and Overseas Territories Per Diem Rates" xr:uid="{00000000-0004-0000-0A00-000005000000}"/>
    <hyperlink ref="I40:L40" r:id="rId7" display="State Department Foreign Travel Per Diem Rates" xr:uid="{00000000-0004-0000-0A00-000006000000}"/>
  </hyperlinks>
  <pageMargins left="0.7" right="0.7" top="0.75" bottom="0.75" header="0.3" footer="0.3"/>
  <pageSetup scale="67" orientation="landscape" r:id="rId8"/>
  <headerFooter>
    <oddHeader>&amp;LTravel Planner&amp;C=</oddHeader>
  </headerFooter>
  <legacyDrawing r:id="rId9"/>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FFFFCC"/>
  </sheetPr>
  <dimension ref="A1:P43"/>
  <sheetViews>
    <sheetView workbookViewId="0">
      <selection activeCell="P1" sqref="P1"/>
    </sheetView>
  </sheetViews>
  <sheetFormatPr defaultColWidth="9.140625" defaultRowHeight="15"/>
  <cols>
    <col min="1" max="1" width="57.140625" style="450" customWidth="1"/>
    <col min="2" max="2" width="5.7109375" style="450" customWidth="1"/>
    <col min="3" max="3" width="2.85546875" style="449" customWidth="1"/>
    <col min="4" max="4" width="5.7109375" style="449" customWidth="1"/>
    <col min="5" max="5" width="2.85546875" style="449" customWidth="1"/>
    <col min="6" max="6" width="5.7109375" style="449" customWidth="1"/>
    <col min="7" max="7" width="2.85546875" style="449" customWidth="1"/>
    <col min="8" max="8" width="5.7109375" style="449" customWidth="1"/>
    <col min="9" max="9" width="2.85546875" style="449" customWidth="1"/>
    <col min="10" max="10" width="5.7109375" style="449" customWidth="1"/>
    <col min="11" max="11" width="2.85546875" style="449" customWidth="1"/>
    <col min="12" max="12" width="5.7109375" style="449" customWidth="1"/>
    <col min="13" max="13" width="2.85546875" style="449" customWidth="1"/>
    <col min="14" max="14" width="5.7109375" style="449" customWidth="1"/>
    <col min="15" max="15" width="2.85546875" style="449" customWidth="1"/>
    <col min="16" max="16384" width="9.140625" style="449"/>
  </cols>
  <sheetData>
    <row r="1" spans="1:16" ht="30" customHeight="1">
      <c r="A1" s="1000" t="s">
        <v>559</v>
      </c>
      <c r="B1" s="1000"/>
      <c r="C1" s="1000"/>
      <c r="D1" s="1000"/>
      <c r="E1" s="1000"/>
      <c r="F1" s="1000"/>
      <c r="G1" s="1000"/>
      <c r="H1" s="1000"/>
      <c r="I1" s="1000"/>
      <c r="J1" s="1000"/>
      <c r="K1" s="1000"/>
      <c r="L1" s="1000"/>
      <c r="M1" s="1000"/>
      <c r="N1" s="1000"/>
      <c r="O1" s="1000"/>
      <c r="P1" s="454" t="s">
        <v>560</v>
      </c>
    </row>
    <row r="2" spans="1:16" ht="30" customHeight="1">
      <c r="A2" s="457" t="s">
        <v>508</v>
      </c>
      <c r="B2" s="999" t="str">
        <f>'BP1'!A1</f>
        <v>Title</v>
      </c>
      <c r="C2" s="999"/>
      <c r="D2" s="999"/>
      <c r="E2" s="999"/>
      <c r="F2" s="999"/>
      <c r="G2" s="999"/>
      <c r="H2" s="999"/>
      <c r="I2" s="999"/>
      <c r="J2" s="999"/>
      <c r="K2" s="999"/>
      <c r="L2" s="999"/>
      <c r="M2" s="999"/>
      <c r="N2" s="999"/>
      <c r="O2" s="999"/>
      <c r="P2" s="455" t="s">
        <v>537</v>
      </c>
    </row>
    <row r="3" spans="1:16" ht="15" customHeight="1">
      <c r="A3" s="457" t="s">
        <v>558</v>
      </c>
      <c r="B3" s="999" t="str">
        <f ca="1">TEXT('BP1'!K8,"m/d/yyyy")&amp;" to "&amp;TEXT(INDIRECT("BP"&amp;'BP1'!K5&amp;"!K10"),"m/d/yyyy")</f>
        <v>9/1/2022 to 8/31/2023</v>
      </c>
      <c r="C3" s="999"/>
      <c r="D3" s="999"/>
      <c r="E3" s="999"/>
      <c r="F3" s="999"/>
      <c r="G3" s="999"/>
      <c r="H3" s="999"/>
      <c r="I3" s="999"/>
      <c r="J3" s="999"/>
      <c r="K3" s="999"/>
      <c r="L3" s="999"/>
      <c r="M3" s="999"/>
      <c r="N3" s="999"/>
      <c r="O3" s="999"/>
      <c r="P3" s="455" t="s">
        <v>537</v>
      </c>
    </row>
    <row r="4" spans="1:16" ht="30" customHeight="1">
      <c r="A4" s="452" t="s">
        <v>557</v>
      </c>
      <c r="B4" s="999" t="str">
        <f>IF('BP1'!L2="Off Campus","Off Campus","On Campus")</f>
        <v>On Campus</v>
      </c>
      <c r="C4" s="999"/>
      <c r="D4" s="999"/>
      <c r="E4" s="999"/>
      <c r="F4" s="999"/>
      <c r="G4" s="999"/>
      <c r="H4" s="999"/>
      <c r="I4" s="999"/>
      <c r="J4" s="999"/>
      <c r="K4" s="999"/>
      <c r="L4" s="999"/>
      <c r="M4" s="999"/>
      <c r="N4" s="999"/>
      <c r="O4" s="999"/>
      <c r="P4" s="455" t="s">
        <v>537</v>
      </c>
    </row>
    <row r="5" spans="1:16" ht="30" customHeight="1">
      <c r="A5" s="452" t="s">
        <v>556</v>
      </c>
      <c r="B5" s="999"/>
      <c r="C5" s="999"/>
      <c r="D5" s="999"/>
      <c r="E5" s="999"/>
      <c r="F5" s="999"/>
      <c r="G5" s="999"/>
      <c r="H5" s="999"/>
      <c r="I5" s="999"/>
      <c r="J5" s="999"/>
      <c r="K5" s="999"/>
      <c r="L5" s="999"/>
      <c r="M5" s="999"/>
      <c r="N5" s="999"/>
      <c r="O5" s="999"/>
      <c r="P5" s="455" t="s">
        <v>537</v>
      </c>
    </row>
    <row r="6" spans="1:16" ht="15" customHeight="1">
      <c r="A6" s="452" t="s">
        <v>555</v>
      </c>
      <c r="B6" s="458" t="s">
        <v>554</v>
      </c>
      <c r="C6" s="459"/>
      <c r="D6" s="458" t="s">
        <v>553</v>
      </c>
      <c r="E6" s="459"/>
      <c r="F6" s="458" t="s">
        <v>552</v>
      </c>
      <c r="G6" s="459"/>
      <c r="H6" s="458" t="s">
        <v>551</v>
      </c>
      <c r="I6" s="459"/>
      <c r="J6" s="458" t="s">
        <v>550</v>
      </c>
      <c r="K6" s="459"/>
      <c r="L6" s="458" t="s">
        <v>549</v>
      </c>
      <c r="M6" s="459"/>
      <c r="N6" s="458" t="s">
        <v>548</v>
      </c>
      <c r="O6" s="459"/>
      <c r="P6" s="455" t="s">
        <v>537</v>
      </c>
    </row>
    <row r="7" spans="1:16" ht="15" customHeight="1">
      <c r="A7" s="452" t="s">
        <v>547</v>
      </c>
      <c r="B7" s="1001"/>
      <c r="C7" s="1001"/>
      <c r="D7" s="1001"/>
      <c r="E7" s="1001"/>
      <c r="F7" s="1001"/>
      <c r="G7" s="1001"/>
      <c r="H7" s="1001"/>
      <c r="I7" s="1001"/>
      <c r="J7" s="1001"/>
      <c r="K7" s="1001"/>
      <c r="L7" s="1001"/>
      <c r="M7" s="1001"/>
      <c r="N7" s="1001"/>
      <c r="O7" s="1001"/>
      <c r="P7" s="455" t="s">
        <v>537</v>
      </c>
    </row>
    <row r="8" spans="1:16" ht="15" customHeight="1">
      <c r="A8" s="452" t="s">
        <v>546</v>
      </c>
      <c r="B8" s="999"/>
      <c r="C8" s="999"/>
      <c r="D8" s="999"/>
      <c r="E8" s="999"/>
      <c r="F8" s="999"/>
      <c r="G8" s="999"/>
      <c r="H8" s="999"/>
      <c r="I8" s="999"/>
      <c r="J8" s="999"/>
      <c r="K8" s="999"/>
      <c r="L8" s="999"/>
      <c r="M8" s="999"/>
      <c r="N8" s="999"/>
      <c r="O8" s="999"/>
      <c r="P8" s="455" t="s">
        <v>537</v>
      </c>
    </row>
    <row r="9" spans="1:16" ht="15" customHeight="1">
      <c r="A9" s="452" t="s">
        <v>545</v>
      </c>
      <c r="B9" s="999"/>
      <c r="C9" s="999"/>
      <c r="D9" s="999"/>
      <c r="E9" s="999"/>
      <c r="F9" s="999"/>
      <c r="G9" s="999"/>
      <c r="H9" s="999"/>
      <c r="I9" s="999"/>
      <c r="J9" s="999"/>
      <c r="K9" s="999"/>
      <c r="L9" s="999"/>
      <c r="M9" s="999"/>
      <c r="N9" s="999"/>
      <c r="O9" s="999"/>
      <c r="P9" s="455" t="s">
        <v>537</v>
      </c>
    </row>
    <row r="10" spans="1:16" ht="15" customHeight="1">
      <c r="A10" s="452" t="s">
        <v>544</v>
      </c>
      <c r="B10" s="999"/>
      <c r="C10" s="999"/>
      <c r="D10" s="999"/>
      <c r="E10" s="999"/>
      <c r="F10" s="999"/>
      <c r="G10" s="999"/>
      <c r="H10" s="999"/>
      <c r="I10" s="999"/>
      <c r="J10" s="999"/>
      <c r="K10" s="999"/>
      <c r="L10" s="999"/>
      <c r="M10" s="999"/>
      <c r="N10" s="999"/>
      <c r="O10" s="999"/>
      <c r="P10" s="455" t="s">
        <v>537</v>
      </c>
    </row>
    <row r="11" spans="1:16" ht="15" customHeight="1">
      <c r="A11" s="452" t="str">
        <f>IF(B10="Yes","If a computer cluster is purchased, will computer space be required?","")</f>
        <v/>
      </c>
      <c r="B11" s="999"/>
      <c r="C11" s="999"/>
      <c r="D11" s="999"/>
      <c r="E11" s="999"/>
      <c r="F11" s="999"/>
      <c r="G11" s="999"/>
      <c r="H11" s="999"/>
      <c r="I11" s="999"/>
      <c r="J11" s="999"/>
      <c r="K11" s="999"/>
      <c r="L11" s="999"/>
      <c r="M11" s="999"/>
      <c r="N11" s="999"/>
      <c r="O11" s="999"/>
      <c r="P11" s="456" t="str">
        <f>IF(A11="","","Standard")</f>
        <v/>
      </c>
    </row>
    <row r="12" spans="1:16" ht="15" customHeight="1">
      <c r="A12" s="452" t="str">
        <f>IF('Cumulative Budget'!K45+'Cumulative Budget'!N45&gt;0,"If capital equipment is purchased, describe.","")</f>
        <v/>
      </c>
      <c r="B12" s="999"/>
      <c r="C12" s="999"/>
      <c r="D12" s="999"/>
      <c r="E12" s="999"/>
      <c r="F12" s="999"/>
      <c r="G12" s="999"/>
      <c r="H12" s="999"/>
      <c r="I12" s="999"/>
      <c r="J12" s="999"/>
      <c r="K12" s="999"/>
      <c r="L12" s="999"/>
      <c r="M12" s="999"/>
      <c r="N12" s="999"/>
      <c r="O12" s="999"/>
      <c r="P12" s="456" t="str">
        <f>IF(A12="","","Standard")</f>
        <v/>
      </c>
    </row>
    <row r="13" spans="1:16" ht="30" customHeight="1">
      <c r="A13" s="452" t="s">
        <v>543</v>
      </c>
      <c r="B13" s="999"/>
      <c r="C13" s="999"/>
      <c r="D13" s="999"/>
      <c r="E13" s="999"/>
      <c r="F13" s="999"/>
      <c r="G13" s="999"/>
      <c r="H13" s="999"/>
      <c r="I13" s="999"/>
      <c r="J13" s="999"/>
      <c r="K13" s="999"/>
      <c r="L13" s="999"/>
      <c r="M13" s="999"/>
      <c r="N13" s="999"/>
      <c r="O13" s="999"/>
      <c r="P13" s="455" t="s">
        <v>537</v>
      </c>
    </row>
    <row r="14" spans="1:16" ht="30" customHeight="1">
      <c r="A14" s="452" t="str">
        <f>IF(B13="Yes","Does the proposed research involve the use of human embryonic stem cells?","")</f>
        <v/>
      </c>
      <c r="B14" s="999"/>
      <c r="C14" s="999"/>
      <c r="D14" s="999"/>
      <c r="E14" s="999"/>
      <c r="F14" s="999"/>
      <c r="G14" s="999"/>
      <c r="H14" s="999"/>
      <c r="I14" s="999"/>
      <c r="J14" s="999"/>
      <c r="K14" s="999"/>
      <c r="L14" s="999"/>
      <c r="M14" s="999"/>
      <c r="N14" s="999"/>
      <c r="O14" s="999"/>
      <c r="P14" s="456" t="str">
        <f>IF(A14="","","Standard")</f>
        <v/>
      </c>
    </row>
    <row r="15" spans="1:16" ht="45" customHeight="1">
      <c r="A15" s="452" t="s">
        <v>542</v>
      </c>
      <c r="B15" s="999"/>
      <c r="C15" s="999"/>
      <c r="D15" s="999"/>
      <c r="E15" s="999"/>
      <c r="F15" s="999"/>
      <c r="G15" s="999"/>
      <c r="H15" s="999"/>
      <c r="I15" s="999"/>
      <c r="J15" s="999"/>
      <c r="K15" s="999"/>
      <c r="L15" s="999"/>
      <c r="M15" s="999"/>
      <c r="N15" s="999"/>
      <c r="O15" s="999"/>
      <c r="P15" s="455" t="s">
        <v>537</v>
      </c>
    </row>
    <row r="16" spans="1:16" ht="15" customHeight="1">
      <c r="A16" s="452" t="str">
        <f>IF(B15="Yes","If so, what are the patent numbers?","")</f>
        <v/>
      </c>
      <c r="B16" s="999"/>
      <c r="C16" s="999"/>
      <c r="D16" s="999"/>
      <c r="E16" s="999"/>
      <c r="F16" s="999"/>
      <c r="G16" s="999"/>
      <c r="H16" s="999"/>
      <c r="I16" s="999"/>
      <c r="J16" s="999"/>
      <c r="K16" s="999"/>
      <c r="L16" s="999"/>
      <c r="M16" s="999"/>
      <c r="N16" s="999"/>
      <c r="O16" s="999"/>
      <c r="P16" s="456" t="str">
        <f>IF(A16="","","Standard")</f>
        <v/>
      </c>
    </row>
    <row r="17" spans="1:16" ht="30" customHeight="1">
      <c r="A17" s="452" t="s">
        <v>541</v>
      </c>
      <c r="B17" s="999"/>
      <c r="C17" s="999"/>
      <c r="D17" s="999"/>
      <c r="E17" s="999"/>
      <c r="F17" s="999"/>
      <c r="G17" s="999"/>
      <c r="H17" s="999"/>
      <c r="I17" s="999"/>
      <c r="J17" s="999"/>
      <c r="K17" s="999"/>
      <c r="L17" s="999"/>
      <c r="M17" s="999"/>
      <c r="N17" s="999"/>
      <c r="O17" s="999"/>
      <c r="P17" s="455" t="s">
        <v>537</v>
      </c>
    </row>
    <row r="18" spans="1:16" ht="30" customHeight="1">
      <c r="A18" s="452" t="s">
        <v>540</v>
      </c>
      <c r="B18" s="999"/>
      <c r="C18" s="999"/>
      <c r="D18" s="999"/>
      <c r="E18" s="999"/>
      <c r="F18" s="999"/>
      <c r="G18" s="999"/>
      <c r="H18" s="999"/>
      <c r="I18" s="999"/>
      <c r="J18" s="999"/>
      <c r="K18" s="999"/>
      <c r="L18" s="999"/>
      <c r="M18" s="999"/>
      <c r="N18" s="999"/>
      <c r="O18" s="999"/>
      <c r="P18" s="455" t="s">
        <v>537</v>
      </c>
    </row>
    <row r="19" spans="1:16" ht="15" customHeight="1">
      <c r="A19" s="452" t="s">
        <v>539</v>
      </c>
      <c r="B19" s="999"/>
      <c r="C19" s="999"/>
      <c r="D19" s="999"/>
      <c r="E19" s="999"/>
      <c r="F19" s="999"/>
      <c r="G19" s="999"/>
      <c r="H19" s="999"/>
      <c r="I19" s="999"/>
      <c r="J19" s="999"/>
      <c r="K19" s="999"/>
      <c r="L19" s="999"/>
      <c r="M19" s="999"/>
      <c r="N19" s="999"/>
      <c r="O19" s="999"/>
      <c r="P19" s="455" t="s">
        <v>537</v>
      </c>
    </row>
    <row r="20" spans="1:16" ht="15" customHeight="1">
      <c r="A20" s="452" t="str">
        <f>IF(B19="Yes","If so, is vertebrate animal use indefinite?","")</f>
        <v/>
      </c>
      <c r="B20" s="999"/>
      <c r="C20" s="999"/>
      <c r="D20" s="999"/>
      <c r="E20" s="999"/>
      <c r="F20" s="999"/>
      <c r="G20" s="999"/>
      <c r="H20" s="999"/>
      <c r="I20" s="999"/>
      <c r="J20" s="999"/>
      <c r="K20" s="999"/>
      <c r="L20" s="999"/>
      <c r="M20" s="999"/>
      <c r="N20" s="999"/>
      <c r="O20" s="999"/>
      <c r="P20" s="456" t="str">
        <f>IF(A20="","","NRSA")</f>
        <v/>
      </c>
    </row>
    <row r="21" spans="1:16" ht="30" customHeight="1">
      <c r="A21" s="452" t="str">
        <f>IF(SUM('Cumulative Budget'!K62:'Cumulative Budget'!K73)&gt;0,"If there are subcontracts proposed in this project, do any of them involve the use of vertebrate animal subjects?","")</f>
        <v/>
      </c>
      <c r="B21" s="999"/>
      <c r="C21" s="999"/>
      <c r="D21" s="999"/>
      <c r="E21" s="999"/>
      <c r="F21" s="999"/>
      <c r="G21" s="999"/>
      <c r="H21" s="999"/>
      <c r="I21" s="999"/>
      <c r="J21" s="999"/>
      <c r="K21" s="999"/>
      <c r="L21" s="999"/>
      <c r="M21" s="999"/>
      <c r="N21" s="999"/>
      <c r="O21" s="999"/>
      <c r="P21" s="456" t="str">
        <f>IF(A21="","","Standard")</f>
        <v/>
      </c>
    </row>
    <row r="22" spans="1:16" ht="30" customHeight="1">
      <c r="A22" s="452" t="s">
        <v>538</v>
      </c>
      <c r="B22" s="999"/>
      <c r="C22" s="999"/>
      <c r="D22" s="999"/>
      <c r="E22" s="999"/>
      <c r="F22" s="999"/>
      <c r="G22" s="999"/>
      <c r="H22" s="999"/>
      <c r="I22" s="999"/>
      <c r="J22" s="999"/>
      <c r="K22" s="999"/>
      <c r="L22" s="999"/>
      <c r="M22" s="999"/>
      <c r="N22" s="999"/>
      <c r="O22" s="999"/>
      <c r="P22" s="455" t="s">
        <v>537</v>
      </c>
    </row>
    <row r="23" spans="1:16" ht="15" customHeight="1">
      <c r="A23" s="452" t="str">
        <f>IF(B22="Yes","If so, is human subjects involvement use indefinite?","")</f>
        <v/>
      </c>
      <c r="B23" s="999"/>
      <c r="C23" s="999"/>
      <c r="D23" s="999"/>
      <c r="E23" s="999"/>
      <c r="F23" s="999"/>
      <c r="G23" s="999"/>
      <c r="H23" s="999"/>
      <c r="I23" s="999"/>
      <c r="J23" s="999"/>
      <c r="K23" s="999"/>
      <c r="L23" s="999"/>
      <c r="M23" s="999"/>
      <c r="N23" s="999"/>
      <c r="O23" s="999"/>
      <c r="P23" s="456" t="str">
        <f>IF(A23="","","NRSA")</f>
        <v/>
      </c>
    </row>
    <row r="24" spans="1:16" ht="30" customHeight="1">
      <c r="A24" s="452" t="str">
        <f>IF(SUM('Cumulative Budget'!K62:'Cumulative Budget'!K73)&gt;0,"If there are subcontracts proposed in this project, do any of them involve the use of human subjects research?","")</f>
        <v/>
      </c>
      <c r="B24" s="999"/>
      <c r="C24" s="999"/>
      <c r="D24" s="999"/>
      <c r="E24" s="999"/>
      <c r="F24" s="999"/>
      <c r="G24" s="999"/>
      <c r="H24" s="999"/>
      <c r="I24" s="999"/>
      <c r="J24" s="999"/>
      <c r="K24" s="999"/>
      <c r="L24" s="999"/>
      <c r="M24" s="999"/>
      <c r="N24" s="999"/>
      <c r="O24" s="999"/>
      <c r="P24" s="456" t="str">
        <f>IF(A24="","","Standard")</f>
        <v/>
      </c>
    </row>
    <row r="25" spans="1:16" ht="30" customHeight="1">
      <c r="A25" s="452" t="s">
        <v>536</v>
      </c>
      <c r="B25" s="999"/>
      <c r="C25" s="999"/>
      <c r="D25" s="999"/>
      <c r="E25" s="999"/>
      <c r="F25" s="999"/>
      <c r="G25" s="999"/>
      <c r="H25" s="999"/>
      <c r="I25" s="999"/>
      <c r="J25" s="999"/>
      <c r="K25" s="999"/>
      <c r="L25" s="999"/>
      <c r="M25" s="999"/>
      <c r="N25" s="999"/>
      <c r="O25" s="999"/>
      <c r="P25" s="455" t="s">
        <v>530</v>
      </c>
    </row>
    <row r="26" spans="1:16" ht="15" customHeight="1">
      <c r="A26" s="452" t="s">
        <v>535</v>
      </c>
      <c r="B26" s="999"/>
      <c r="C26" s="999"/>
      <c r="D26" s="999"/>
      <c r="E26" s="999"/>
      <c r="F26" s="999"/>
      <c r="G26" s="999"/>
      <c r="H26" s="999"/>
      <c r="I26" s="999"/>
      <c r="J26" s="999"/>
      <c r="K26" s="999"/>
      <c r="L26" s="999"/>
      <c r="M26" s="999"/>
      <c r="N26" s="999"/>
      <c r="O26" s="999"/>
      <c r="P26" s="455" t="s">
        <v>530</v>
      </c>
    </row>
    <row r="27" spans="1:16" ht="30" customHeight="1">
      <c r="A27" s="452" t="s">
        <v>534</v>
      </c>
      <c r="B27" s="999"/>
      <c r="C27" s="999"/>
      <c r="D27" s="999"/>
      <c r="E27" s="999"/>
      <c r="F27" s="999"/>
      <c r="G27" s="999"/>
      <c r="H27" s="999"/>
      <c r="I27" s="999"/>
      <c r="J27" s="999"/>
      <c r="K27" s="999"/>
      <c r="L27" s="999"/>
      <c r="M27" s="999"/>
      <c r="N27" s="999"/>
      <c r="O27" s="999"/>
      <c r="P27" s="455" t="s">
        <v>530</v>
      </c>
    </row>
    <row r="28" spans="1:16" ht="30" customHeight="1">
      <c r="A28" s="452" t="s">
        <v>533</v>
      </c>
      <c r="B28" s="999"/>
      <c r="C28" s="999"/>
      <c r="D28" s="999"/>
      <c r="E28" s="999"/>
      <c r="F28" s="999"/>
      <c r="G28" s="999"/>
      <c r="H28" s="999"/>
      <c r="I28" s="999"/>
      <c r="J28" s="999"/>
      <c r="K28" s="999"/>
      <c r="L28" s="999"/>
      <c r="M28" s="999"/>
      <c r="N28" s="999"/>
      <c r="O28" s="999"/>
      <c r="P28" s="455" t="s">
        <v>530</v>
      </c>
    </row>
    <row r="29" spans="1:16" ht="30" customHeight="1">
      <c r="A29" s="452" t="s">
        <v>532</v>
      </c>
      <c r="B29" s="999"/>
      <c r="C29" s="999"/>
      <c r="D29" s="999"/>
      <c r="E29" s="999"/>
      <c r="F29" s="999"/>
      <c r="G29" s="999"/>
      <c r="H29" s="999"/>
      <c r="I29" s="999"/>
      <c r="J29" s="999"/>
      <c r="K29" s="999"/>
      <c r="L29" s="999"/>
      <c r="M29" s="999"/>
      <c r="N29" s="999"/>
      <c r="O29" s="999"/>
      <c r="P29" s="455" t="s">
        <v>530</v>
      </c>
    </row>
    <row r="30" spans="1:16" ht="30" customHeight="1">
      <c r="A30" s="452" t="s">
        <v>531</v>
      </c>
      <c r="B30" s="999"/>
      <c r="C30" s="999"/>
      <c r="D30" s="999"/>
      <c r="E30" s="999"/>
      <c r="F30" s="999"/>
      <c r="G30" s="999"/>
      <c r="H30" s="999"/>
      <c r="I30" s="999"/>
      <c r="J30" s="999"/>
      <c r="K30" s="999"/>
      <c r="L30" s="999"/>
      <c r="M30" s="999"/>
      <c r="N30" s="999"/>
      <c r="O30" s="999"/>
      <c r="P30" s="455" t="s">
        <v>530</v>
      </c>
    </row>
    <row r="31" spans="1:16" ht="30" customHeight="1">
      <c r="A31" s="452" t="s">
        <v>531</v>
      </c>
      <c r="B31" s="999"/>
      <c r="C31" s="999"/>
      <c r="D31" s="999"/>
      <c r="E31" s="999"/>
      <c r="F31" s="999"/>
      <c r="G31" s="999"/>
      <c r="H31" s="999"/>
      <c r="I31" s="999"/>
      <c r="J31" s="999"/>
      <c r="K31" s="999"/>
      <c r="L31" s="999"/>
      <c r="M31" s="999"/>
      <c r="N31" s="999"/>
      <c r="O31" s="999"/>
      <c r="P31" s="455" t="s">
        <v>530</v>
      </c>
    </row>
    <row r="32" spans="1:16" ht="15" customHeight="1">
      <c r="A32" s="452" t="s">
        <v>561</v>
      </c>
      <c r="B32" s="999"/>
      <c r="C32" s="999"/>
      <c r="D32" s="999"/>
      <c r="E32" s="999"/>
      <c r="F32" s="999"/>
      <c r="G32" s="999"/>
      <c r="H32" s="999"/>
      <c r="I32" s="999"/>
      <c r="J32" s="999"/>
      <c r="K32" s="999"/>
      <c r="L32" s="999"/>
      <c r="M32" s="999"/>
      <c r="N32" s="999"/>
      <c r="O32" s="999"/>
      <c r="P32" s="455" t="s">
        <v>517</v>
      </c>
    </row>
    <row r="33" spans="1:16" ht="15" customHeight="1">
      <c r="A33" s="452" t="s">
        <v>529</v>
      </c>
      <c r="B33" s="999"/>
      <c r="C33" s="999"/>
      <c r="D33" s="999"/>
      <c r="E33" s="999"/>
      <c r="F33" s="999"/>
      <c r="G33" s="999"/>
      <c r="H33" s="999"/>
      <c r="I33" s="999"/>
      <c r="J33" s="999"/>
      <c r="K33" s="999"/>
      <c r="L33" s="999"/>
      <c r="M33" s="999"/>
      <c r="N33" s="999"/>
      <c r="O33" s="999"/>
      <c r="P33" s="455" t="s">
        <v>517</v>
      </c>
    </row>
    <row r="34" spans="1:16" ht="15" customHeight="1">
      <c r="A34" s="452" t="s">
        <v>528</v>
      </c>
      <c r="B34" s="999"/>
      <c r="C34" s="999"/>
      <c r="D34" s="999"/>
      <c r="E34" s="999"/>
      <c r="F34" s="999"/>
      <c r="G34" s="999"/>
      <c r="H34" s="999"/>
      <c r="I34" s="999"/>
      <c r="J34" s="999"/>
      <c r="K34" s="999"/>
      <c r="L34" s="999"/>
      <c r="M34" s="999"/>
      <c r="N34" s="999"/>
      <c r="O34" s="999"/>
      <c r="P34" s="455" t="s">
        <v>517</v>
      </c>
    </row>
    <row r="35" spans="1:16" ht="15" customHeight="1">
      <c r="A35" s="452" t="s">
        <v>527</v>
      </c>
      <c r="B35" s="999"/>
      <c r="C35" s="999"/>
      <c r="D35" s="999"/>
      <c r="E35" s="999"/>
      <c r="F35" s="999"/>
      <c r="G35" s="999"/>
      <c r="H35" s="999"/>
      <c r="I35" s="999"/>
      <c r="J35" s="999"/>
      <c r="K35" s="999"/>
      <c r="L35" s="999"/>
      <c r="M35" s="999"/>
      <c r="N35" s="999"/>
      <c r="O35" s="999"/>
      <c r="P35" s="455" t="s">
        <v>517</v>
      </c>
    </row>
    <row r="36" spans="1:16" ht="15" customHeight="1">
      <c r="A36" s="452" t="s">
        <v>526</v>
      </c>
      <c r="B36" s="999"/>
      <c r="C36" s="999"/>
      <c r="D36" s="999"/>
      <c r="E36" s="999"/>
      <c r="F36" s="999"/>
      <c r="G36" s="999"/>
      <c r="H36" s="999"/>
      <c r="I36" s="999"/>
      <c r="J36" s="999"/>
      <c r="K36" s="999"/>
      <c r="L36" s="999"/>
      <c r="M36" s="999"/>
      <c r="N36" s="999"/>
      <c r="O36" s="999"/>
      <c r="P36" s="455" t="s">
        <v>517</v>
      </c>
    </row>
    <row r="37" spans="1:16" ht="15" customHeight="1">
      <c r="A37" s="452" t="s">
        <v>525</v>
      </c>
      <c r="B37" s="999"/>
      <c r="C37" s="999"/>
      <c r="D37" s="999"/>
      <c r="E37" s="999"/>
      <c r="F37" s="999"/>
      <c r="G37" s="999"/>
      <c r="H37" s="999"/>
      <c r="I37" s="999"/>
      <c r="J37" s="999"/>
      <c r="K37" s="999"/>
      <c r="L37" s="999"/>
      <c r="M37" s="999"/>
      <c r="N37" s="999"/>
      <c r="O37" s="999"/>
      <c r="P37" s="455" t="s">
        <v>517</v>
      </c>
    </row>
    <row r="38" spans="1:16" ht="15" customHeight="1">
      <c r="A38" s="453" t="s">
        <v>524</v>
      </c>
      <c r="B38" s="999"/>
      <c r="C38" s="999"/>
      <c r="D38" s="999"/>
      <c r="E38" s="999"/>
      <c r="F38" s="999"/>
      <c r="G38" s="999"/>
      <c r="H38" s="999"/>
      <c r="I38" s="999"/>
      <c r="J38" s="999"/>
      <c r="K38" s="999"/>
      <c r="L38" s="999"/>
      <c r="M38" s="999"/>
      <c r="N38" s="999"/>
      <c r="O38" s="999"/>
      <c r="P38" s="455" t="s">
        <v>517</v>
      </c>
    </row>
    <row r="39" spans="1:16" ht="15" customHeight="1">
      <c r="A39" s="452" t="s">
        <v>523</v>
      </c>
      <c r="B39" s="999"/>
      <c r="C39" s="999"/>
      <c r="D39" s="999"/>
      <c r="E39" s="999"/>
      <c r="F39" s="999"/>
      <c r="G39" s="999"/>
      <c r="H39" s="999"/>
      <c r="I39" s="999"/>
      <c r="J39" s="999"/>
      <c r="K39" s="999"/>
      <c r="L39" s="999"/>
      <c r="M39" s="999"/>
      <c r="N39" s="999"/>
      <c r="O39" s="999"/>
      <c r="P39" s="455" t="s">
        <v>517</v>
      </c>
    </row>
    <row r="40" spans="1:16" ht="15" customHeight="1">
      <c r="A40" s="452" t="s">
        <v>522</v>
      </c>
      <c r="B40" s="999"/>
      <c r="C40" s="999"/>
      <c r="D40" s="999"/>
      <c r="E40" s="999"/>
      <c r="F40" s="999"/>
      <c r="G40" s="999"/>
      <c r="H40" s="999"/>
      <c r="I40" s="999"/>
      <c r="J40" s="999"/>
      <c r="K40" s="999"/>
      <c r="L40" s="999"/>
      <c r="M40" s="999"/>
      <c r="N40" s="999"/>
      <c r="O40" s="999"/>
      <c r="P40" s="455" t="s">
        <v>517</v>
      </c>
    </row>
    <row r="41" spans="1:16" ht="45" customHeight="1">
      <c r="A41" s="452" t="s">
        <v>521</v>
      </c>
      <c r="B41" s="1002" t="s">
        <v>520</v>
      </c>
      <c r="C41" s="1002"/>
      <c r="D41" s="1002"/>
      <c r="E41" s="1002"/>
      <c r="F41" s="1002"/>
      <c r="G41" s="459"/>
      <c r="H41" s="1002" t="s">
        <v>519</v>
      </c>
      <c r="I41" s="1002"/>
      <c r="J41" s="1002"/>
      <c r="K41" s="459"/>
      <c r="L41" s="1002" t="s">
        <v>518</v>
      </c>
      <c r="M41" s="1002"/>
      <c r="N41" s="1002"/>
      <c r="O41" s="460"/>
      <c r="P41" s="455" t="s">
        <v>517</v>
      </c>
    </row>
    <row r="43" spans="1:16">
      <c r="M43" s="451"/>
    </row>
  </sheetData>
  <autoFilter ref="A1:P41" xr:uid="{00000000-0009-0000-0000-00000B000000}">
    <filterColumn colId="0" showButton="0"/>
    <filterColumn colId="1" showButton="0"/>
    <filterColumn colId="2" showButton="0"/>
    <filterColumn colId="3" showButton="0"/>
    <filterColumn colId="4" showButton="0"/>
    <filterColumn colId="5" showButton="0"/>
    <filterColumn colId="6" showButton="0"/>
    <filterColumn colId="7" showButton="0"/>
    <filterColumn colId="8" showButton="0"/>
    <filterColumn colId="9" showButton="0"/>
    <filterColumn colId="10" showButton="0"/>
    <filterColumn colId="11" showButton="0"/>
    <filterColumn colId="12" showButton="0"/>
    <filterColumn colId="13" showButton="0"/>
  </autoFilter>
  <mergeCells count="42">
    <mergeCell ref="L41:N41"/>
    <mergeCell ref="H41:J41"/>
    <mergeCell ref="B41:F41"/>
    <mergeCell ref="B33:O33"/>
    <mergeCell ref="B34:O34"/>
    <mergeCell ref="B39:O39"/>
    <mergeCell ref="B40:O40"/>
    <mergeCell ref="B35:O35"/>
    <mergeCell ref="B36:O36"/>
    <mergeCell ref="B38:O38"/>
    <mergeCell ref="B37:O37"/>
    <mergeCell ref="B31:O31"/>
    <mergeCell ref="B23:O23"/>
    <mergeCell ref="B20:O20"/>
    <mergeCell ref="B32:O32"/>
    <mergeCell ref="B25:O25"/>
    <mergeCell ref="B26:O26"/>
    <mergeCell ref="B27:O27"/>
    <mergeCell ref="B28:O28"/>
    <mergeCell ref="B29:O29"/>
    <mergeCell ref="B30:O30"/>
    <mergeCell ref="B24:O24"/>
    <mergeCell ref="B18:O18"/>
    <mergeCell ref="B5:O5"/>
    <mergeCell ref="B19:O19"/>
    <mergeCell ref="B21:O21"/>
    <mergeCell ref="B22:O22"/>
    <mergeCell ref="B12:O12"/>
    <mergeCell ref="B14:O14"/>
    <mergeCell ref="B15:O15"/>
    <mergeCell ref="B17:O17"/>
    <mergeCell ref="B16:O16"/>
    <mergeCell ref="B7:O7"/>
    <mergeCell ref="B8:O8"/>
    <mergeCell ref="B9:O9"/>
    <mergeCell ref="B10:O10"/>
    <mergeCell ref="B11:O11"/>
    <mergeCell ref="B4:O4"/>
    <mergeCell ref="B2:O2"/>
    <mergeCell ref="B3:O3"/>
    <mergeCell ref="A1:O1"/>
    <mergeCell ref="B13:O13"/>
  </mergeCells>
  <dataValidations disablePrompts="1" count="2">
    <dataValidation type="list" allowBlank="1" showInputMessage="1" showErrorMessage="1" sqref="B5 B7:B11 B17:B27 B29:B31 B39:B40 B13:B15" xr:uid="{00000000-0002-0000-0B00-000000000000}">
      <formula1>"Yes, No"</formula1>
    </dataValidation>
    <dataValidation type="list" allowBlank="1" showInputMessage="1" showErrorMessage="1" sqref="G41 K41 O41 C6 E6 G6 I6 K6 M6 O6" xr:uid="{00000000-0002-0000-0B00-000001000000}">
      <formula1>"X"</formula1>
    </dataValidation>
  </dataValidations>
  <hyperlinks>
    <hyperlink ref="A38" r:id="rId1" display="What is the field of training?" xr:uid="{00000000-0004-0000-0B00-000000000000}"/>
  </hyperlinks>
  <pageMargins left="0.7" right="0.7" top="0.75" bottom="0.75" header="0.3" footer="0.3"/>
  <pageSetup orientation="portrait" r:id="rId2"/>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1">
    <tabColor theme="9" tint="0.59999389629810485"/>
    <pageSetUpPr fitToPage="1"/>
  </sheetPr>
  <dimension ref="A1:S817"/>
  <sheetViews>
    <sheetView workbookViewId="0">
      <pane ySplit="1" topLeftCell="A182" activePane="bottomLeft" state="frozen"/>
      <selection activeCell="L122" sqref="L122"/>
      <selection pane="bottomLeft" activeCell="L194" sqref="L194"/>
    </sheetView>
  </sheetViews>
  <sheetFormatPr defaultRowHeight="12.75"/>
  <cols>
    <col min="1" max="1" width="16.85546875" style="19" bestFit="1" customWidth="1"/>
    <col min="2" max="2" width="18" style="19" bestFit="1" customWidth="1"/>
    <col min="3" max="3" width="7.85546875" style="8" bestFit="1" customWidth="1"/>
    <col min="4" max="4" width="12" style="8" bestFit="1" customWidth="1"/>
    <col min="5" max="5" width="9.140625" style="8" customWidth="1"/>
    <col min="6" max="6" width="13.7109375" style="8" bestFit="1" customWidth="1"/>
    <col min="7" max="8" width="7.28515625" style="8" bestFit="1" customWidth="1"/>
    <col min="9" max="9" width="8.28515625" style="8" bestFit="1" customWidth="1"/>
    <col min="10" max="10" width="7.140625" style="8" bestFit="1" customWidth="1"/>
    <col min="11" max="11" width="17.7109375" style="25" bestFit="1" customWidth="1"/>
    <col min="12" max="12" width="8.5703125" bestFit="1" customWidth="1"/>
    <col min="13" max="13" width="17.85546875" bestFit="1" customWidth="1"/>
    <col min="14" max="14" width="17.7109375" bestFit="1" customWidth="1"/>
    <col min="15" max="15" width="19.140625" bestFit="1" customWidth="1"/>
    <col min="16" max="16" width="21.7109375" bestFit="1" customWidth="1"/>
    <col min="17" max="17" width="21.85546875" bestFit="1" customWidth="1"/>
    <col min="18" max="19" width="7.28515625" style="82" bestFit="1" customWidth="1"/>
  </cols>
  <sheetData>
    <row r="1" spans="1:19">
      <c r="A1" s="19" t="s">
        <v>18</v>
      </c>
      <c r="B1" s="19" t="s">
        <v>19</v>
      </c>
      <c r="C1" s="9" t="s">
        <v>7</v>
      </c>
      <c r="D1" s="9" t="s">
        <v>8</v>
      </c>
      <c r="E1" s="9" t="s">
        <v>9</v>
      </c>
      <c r="F1" s="9" t="s">
        <v>10</v>
      </c>
      <c r="G1" s="85" t="s">
        <v>73</v>
      </c>
      <c r="H1" s="85" t="s">
        <v>72</v>
      </c>
      <c r="I1" s="85" t="s">
        <v>74</v>
      </c>
      <c r="J1" s="85" t="s">
        <v>75</v>
      </c>
      <c r="K1" s="25" t="s">
        <v>20</v>
      </c>
      <c r="L1" s="49" t="s">
        <v>36</v>
      </c>
      <c r="M1" s="337" t="s">
        <v>411</v>
      </c>
      <c r="N1" s="337" t="s">
        <v>412</v>
      </c>
      <c r="O1" s="337" t="s">
        <v>413</v>
      </c>
      <c r="P1" s="337" t="s">
        <v>460</v>
      </c>
      <c r="Q1" t="s">
        <v>461</v>
      </c>
    </row>
    <row r="2" spans="1:19">
      <c r="A2" s="19">
        <v>37499</v>
      </c>
      <c r="B2" s="19">
        <f t="shared" ref="B2:B65" si="0">EDATE(A2,12)-1</f>
        <v>37863</v>
      </c>
      <c r="C2" s="86">
        <f>AVERAGE(G2:G13)</f>
        <v>0.24</v>
      </c>
      <c r="D2" s="86">
        <f>AVERAGE(H2:H13)</f>
        <v>0.253</v>
      </c>
      <c r="E2" s="86">
        <f>AVERAGE(I2:I13)</f>
        <v>7.0000000000000007E-2</v>
      </c>
      <c r="F2" s="86">
        <f>AVERAGE(J2:J13)</f>
        <v>1.7999999999999999E-2</v>
      </c>
      <c r="G2" s="87">
        <v>0.24</v>
      </c>
      <c r="H2" s="87">
        <v>0.253</v>
      </c>
      <c r="I2" s="87">
        <v>7.0000000000000007E-2</v>
      </c>
      <c r="J2" s="87">
        <v>1.7999999999999999E-2</v>
      </c>
      <c r="K2" s="25">
        <f>(L2*4)</f>
        <v>12048</v>
      </c>
      <c r="L2" s="95">
        <v>3012</v>
      </c>
      <c r="N2" s="82"/>
    </row>
    <row r="3" spans="1:19">
      <c r="A3" s="19">
        <f t="shared" ref="A3:A66" si="1">EDATE(A2,1)</f>
        <v>37529</v>
      </c>
      <c r="B3" s="19">
        <f t="shared" si="0"/>
        <v>37893</v>
      </c>
      <c r="C3" s="86">
        <f t="shared" ref="C3:C66" si="2">AVERAGE(G3:G14)</f>
        <v>0.2387</v>
      </c>
      <c r="D3" s="86">
        <f t="shared" ref="D3:D66" si="3">AVERAGE(H3:H14)</f>
        <v>0.25190000000000001</v>
      </c>
      <c r="E3" s="86">
        <f t="shared" ref="E3:F18" si="4">AVERAGE(I3:I14)</f>
        <v>6.9800000000000001E-2</v>
      </c>
      <c r="F3" s="86">
        <f t="shared" si="4"/>
        <v>1.7899999999999999E-2</v>
      </c>
      <c r="G3" s="87">
        <v>0.24</v>
      </c>
      <c r="H3" s="87">
        <v>0.253</v>
      </c>
      <c r="I3" s="87">
        <v>7.0000000000000007E-2</v>
      </c>
      <c r="J3" s="87">
        <v>1.7999999999999999E-2</v>
      </c>
      <c r="K3" s="25">
        <f>((11/3)*L2)+((1/3)*L14)</f>
        <v>12096</v>
      </c>
      <c r="L3" s="95"/>
    </row>
    <row r="4" spans="1:19">
      <c r="A4" s="19">
        <f t="shared" si="1"/>
        <v>37560</v>
      </c>
      <c r="B4" s="19">
        <f t="shared" si="0"/>
        <v>37924</v>
      </c>
      <c r="C4" s="86">
        <f t="shared" si="2"/>
        <v>0.23730000000000001</v>
      </c>
      <c r="D4" s="86">
        <f t="shared" si="3"/>
        <v>0.25080000000000002</v>
      </c>
      <c r="E4" s="86">
        <f t="shared" si="4"/>
        <v>6.9500000000000006E-2</v>
      </c>
      <c r="F4" s="86">
        <f t="shared" ref="F4:F67" si="5">AVERAGE(J4:J15)</f>
        <v>1.78E-2</v>
      </c>
      <c r="G4" s="87">
        <v>0.24</v>
      </c>
      <c r="H4" s="87">
        <v>0.253</v>
      </c>
      <c r="I4" s="87">
        <v>7.0000000000000007E-2</v>
      </c>
      <c r="J4" s="87">
        <v>1.7999999999999999E-2</v>
      </c>
      <c r="K4" s="25">
        <f>((10/3)*L2)+((2/3)*L14)</f>
        <v>12144</v>
      </c>
      <c r="L4" s="95"/>
    </row>
    <row r="5" spans="1:19">
      <c r="A5" s="19">
        <f t="shared" si="1"/>
        <v>37590</v>
      </c>
      <c r="B5" s="19">
        <f t="shared" si="0"/>
        <v>37954</v>
      </c>
      <c r="C5" s="86">
        <f t="shared" si="2"/>
        <v>0.23599999999999999</v>
      </c>
      <c r="D5" s="86">
        <f t="shared" si="3"/>
        <v>0.24979999999999999</v>
      </c>
      <c r="E5" s="86">
        <f t="shared" si="4"/>
        <v>6.93E-2</v>
      </c>
      <c r="F5" s="86">
        <f t="shared" si="5"/>
        <v>1.78E-2</v>
      </c>
      <c r="G5" s="87">
        <v>0.24</v>
      </c>
      <c r="H5" s="87">
        <v>0.253</v>
      </c>
      <c r="I5" s="87">
        <v>7.0000000000000007E-2</v>
      </c>
      <c r="J5" s="87">
        <v>1.7999999999999999E-2</v>
      </c>
      <c r="K5" s="25">
        <f>((9/3)*L2)+((3/3)*L14)</f>
        <v>12192</v>
      </c>
      <c r="L5" s="95"/>
    </row>
    <row r="6" spans="1:19">
      <c r="A6" s="19">
        <f t="shared" si="1"/>
        <v>37621</v>
      </c>
      <c r="B6" s="19">
        <f t="shared" si="0"/>
        <v>37985</v>
      </c>
      <c r="C6" s="86">
        <f t="shared" si="2"/>
        <v>0.23469999999999999</v>
      </c>
      <c r="D6" s="86">
        <f t="shared" si="3"/>
        <v>0.2487</v>
      </c>
      <c r="E6" s="86">
        <f t="shared" si="4"/>
        <v>6.9000000000000006E-2</v>
      </c>
      <c r="F6" s="86">
        <f t="shared" si="5"/>
        <v>1.77E-2</v>
      </c>
      <c r="G6" s="87">
        <v>0.24</v>
      </c>
      <c r="H6" s="87">
        <v>0.253</v>
      </c>
      <c r="I6" s="87">
        <v>7.0000000000000007E-2</v>
      </c>
      <c r="J6" s="87">
        <v>1.7999999999999999E-2</v>
      </c>
      <c r="K6" s="25">
        <f>((8/3)*L2)+((4/3)*L14)</f>
        <v>12240</v>
      </c>
      <c r="L6" s="95"/>
    </row>
    <row r="7" spans="1:19">
      <c r="A7" s="19">
        <f t="shared" si="1"/>
        <v>37652</v>
      </c>
      <c r="B7" s="19">
        <f t="shared" si="0"/>
        <v>38016</v>
      </c>
      <c r="C7" s="86">
        <f t="shared" si="2"/>
        <v>0.23330000000000001</v>
      </c>
      <c r="D7" s="86">
        <f t="shared" si="3"/>
        <v>0.24759999999999999</v>
      </c>
      <c r="E7" s="86">
        <f t="shared" si="4"/>
        <v>6.88E-2</v>
      </c>
      <c r="F7" s="86">
        <f t="shared" si="5"/>
        <v>1.7600000000000001E-2</v>
      </c>
      <c r="G7" s="87">
        <v>0.24</v>
      </c>
      <c r="H7" s="87">
        <v>0.253</v>
      </c>
      <c r="I7" s="87">
        <v>7.0000000000000007E-2</v>
      </c>
      <c r="J7" s="87">
        <v>1.7999999999999999E-2</v>
      </c>
      <c r="K7" s="25">
        <f>((7/3)*L2)+((5/3)*L14)</f>
        <v>12288</v>
      </c>
      <c r="L7" s="95"/>
    </row>
    <row r="8" spans="1:19">
      <c r="A8" s="19">
        <f t="shared" si="1"/>
        <v>37680</v>
      </c>
      <c r="B8" s="19">
        <f t="shared" si="0"/>
        <v>38045</v>
      </c>
      <c r="C8" s="86">
        <f t="shared" si="2"/>
        <v>0.23200000000000001</v>
      </c>
      <c r="D8" s="86">
        <f t="shared" si="3"/>
        <v>0.2465</v>
      </c>
      <c r="E8" s="86">
        <f t="shared" si="4"/>
        <v>6.8500000000000005E-2</v>
      </c>
      <c r="F8" s="86">
        <f t="shared" si="5"/>
        <v>1.7500000000000002E-2</v>
      </c>
      <c r="G8" s="87">
        <v>0.24</v>
      </c>
      <c r="H8" s="87">
        <v>0.253</v>
      </c>
      <c r="I8" s="87">
        <v>7.0000000000000007E-2</v>
      </c>
      <c r="J8" s="87">
        <v>1.7999999999999999E-2</v>
      </c>
      <c r="K8" s="25">
        <f>((6/3)*L2)+((6/3)*L14)</f>
        <v>12336</v>
      </c>
      <c r="L8" s="95"/>
    </row>
    <row r="9" spans="1:19">
      <c r="A9" s="19">
        <f t="shared" si="1"/>
        <v>37711</v>
      </c>
      <c r="B9" s="19">
        <f t="shared" si="0"/>
        <v>38076</v>
      </c>
      <c r="C9" s="86">
        <f t="shared" si="2"/>
        <v>0.23069999999999999</v>
      </c>
      <c r="D9" s="86">
        <f t="shared" si="3"/>
        <v>0.24540000000000001</v>
      </c>
      <c r="E9" s="86">
        <f t="shared" si="4"/>
        <v>6.83E-2</v>
      </c>
      <c r="F9" s="86">
        <f t="shared" si="5"/>
        <v>1.7399999999999999E-2</v>
      </c>
      <c r="G9" s="87">
        <v>0.24</v>
      </c>
      <c r="H9" s="87">
        <v>0.253</v>
      </c>
      <c r="I9" s="87">
        <v>7.0000000000000007E-2</v>
      </c>
      <c r="J9" s="87">
        <v>1.7999999999999999E-2</v>
      </c>
      <c r="K9" s="25">
        <f>((5/3)*L2)+((7/3)*L14)</f>
        <v>12384</v>
      </c>
      <c r="L9" s="95"/>
    </row>
    <row r="10" spans="1:19">
      <c r="A10" s="19">
        <f t="shared" si="1"/>
        <v>37741</v>
      </c>
      <c r="B10" s="19">
        <f t="shared" si="0"/>
        <v>38106</v>
      </c>
      <c r="C10" s="86">
        <f t="shared" si="2"/>
        <v>0.2293</v>
      </c>
      <c r="D10" s="86">
        <f t="shared" si="3"/>
        <v>0.24429999999999999</v>
      </c>
      <c r="E10" s="86">
        <f t="shared" si="4"/>
        <v>6.8000000000000005E-2</v>
      </c>
      <c r="F10" s="86">
        <f t="shared" si="5"/>
        <v>1.7299999999999999E-2</v>
      </c>
      <c r="G10" s="87">
        <v>0.24</v>
      </c>
      <c r="H10" s="87">
        <v>0.253</v>
      </c>
      <c r="I10" s="87">
        <v>7.0000000000000007E-2</v>
      </c>
      <c r="J10" s="87">
        <v>1.7999999999999999E-2</v>
      </c>
      <c r="K10" s="25">
        <f>((4/3)*L2)+((8/3)*L14)</f>
        <v>12432</v>
      </c>
      <c r="L10" s="95"/>
    </row>
    <row r="11" spans="1:19">
      <c r="A11" s="19">
        <f t="shared" si="1"/>
        <v>37772</v>
      </c>
      <c r="B11" s="19">
        <f t="shared" si="0"/>
        <v>38137</v>
      </c>
      <c r="C11" s="86">
        <f t="shared" si="2"/>
        <v>0.22800000000000001</v>
      </c>
      <c r="D11" s="86">
        <f t="shared" si="3"/>
        <v>0.24329999999999999</v>
      </c>
      <c r="E11" s="86">
        <f t="shared" si="4"/>
        <v>6.7799999999999999E-2</v>
      </c>
      <c r="F11" s="86">
        <f t="shared" si="5"/>
        <v>1.7299999999999999E-2</v>
      </c>
      <c r="G11" s="87">
        <v>0.24</v>
      </c>
      <c r="H11" s="87">
        <v>0.253</v>
      </c>
      <c r="I11" s="87">
        <v>7.0000000000000007E-2</v>
      </c>
      <c r="J11" s="87">
        <v>1.7999999999999999E-2</v>
      </c>
      <c r="K11" s="25">
        <f>((3/3)*L2)+((9/3)*L14)</f>
        <v>12480</v>
      </c>
      <c r="L11" s="95"/>
    </row>
    <row r="12" spans="1:19">
      <c r="A12" s="19">
        <f t="shared" si="1"/>
        <v>37802</v>
      </c>
      <c r="B12" s="19">
        <f t="shared" si="0"/>
        <v>38167</v>
      </c>
      <c r="C12" s="86">
        <f t="shared" si="2"/>
        <v>0.22670000000000001</v>
      </c>
      <c r="D12" s="86">
        <f t="shared" si="3"/>
        <v>0.2422</v>
      </c>
      <c r="E12" s="86">
        <f t="shared" si="4"/>
        <v>6.7500000000000004E-2</v>
      </c>
      <c r="F12" s="86">
        <f t="shared" si="5"/>
        <v>1.72E-2</v>
      </c>
      <c r="G12" s="87">
        <v>0.24</v>
      </c>
      <c r="H12" s="87">
        <v>0.253</v>
      </c>
      <c r="I12" s="87">
        <v>7.0000000000000007E-2</v>
      </c>
      <c r="J12" s="87">
        <v>1.7999999999999999E-2</v>
      </c>
      <c r="K12" s="25">
        <f>((2/3)*L2)+((10/3)*L14)</f>
        <v>12528</v>
      </c>
      <c r="L12" s="95"/>
    </row>
    <row r="13" spans="1:19">
      <c r="A13" s="19">
        <f t="shared" si="1"/>
        <v>37833</v>
      </c>
      <c r="B13" s="19">
        <f t="shared" si="0"/>
        <v>38198</v>
      </c>
      <c r="C13" s="86">
        <f t="shared" si="2"/>
        <v>0.2253</v>
      </c>
      <c r="D13" s="86">
        <f t="shared" si="3"/>
        <v>0.24110000000000001</v>
      </c>
      <c r="E13" s="86">
        <f t="shared" si="4"/>
        <v>6.7299999999999999E-2</v>
      </c>
      <c r="F13" s="86">
        <f t="shared" si="5"/>
        <v>1.7100000000000001E-2</v>
      </c>
      <c r="G13" s="87">
        <v>0.24</v>
      </c>
      <c r="H13" s="87">
        <v>0.253</v>
      </c>
      <c r="I13" s="87">
        <v>7.0000000000000007E-2</v>
      </c>
      <c r="J13" s="87">
        <v>1.7999999999999999E-2</v>
      </c>
      <c r="K13" s="25">
        <f>((1/3)*L2)+((11/3)*L14)</f>
        <v>12576</v>
      </c>
      <c r="L13" s="95"/>
    </row>
    <row r="14" spans="1:19" s="80" customFormat="1">
      <c r="A14" s="79">
        <f t="shared" si="1"/>
        <v>37864</v>
      </c>
      <c r="B14" s="79">
        <f t="shared" si="0"/>
        <v>38229</v>
      </c>
      <c r="C14" s="88">
        <f t="shared" si="2"/>
        <v>0.224</v>
      </c>
      <c r="D14" s="88">
        <f t="shared" si="3"/>
        <v>0.24</v>
      </c>
      <c r="E14" s="88">
        <f t="shared" si="4"/>
        <v>6.7000000000000004E-2</v>
      </c>
      <c r="F14" s="88">
        <f t="shared" si="5"/>
        <v>1.7000000000000001E-2</v>
      </c>
      <c r="G14" s="89">
        <v>0.224</v>
      </c>
      <c r="H14" s="89">
        <v>0.24</v>
      </c>
      <c r="I14" s="89">
        <v>6.7000000000000004E-2</v>
      </c>
      <c r="J14" s="89">
        <v>1.7000000000000001E-2</v>
      </c>
      <c r="K14" s="78">
        <f>(L14*4)</f>
        <v>12624</v>
      </c>
      <c r="L14" s="96">
        <v>3156</v>
      </c>
      <c r="R14" s="355"/>
      <c r="S14" s="355"/>
    </row>
    <row r="15" spans="1:19" s="80" customFormat="1">
      <c r="A15" s="79">
        <f t="shared" si="1"/>
        <v>37894</v>
      </c>
      <c r="B15" s="79">
        <f t="shared" si="0"/>
        <v>38259</v>
      </c>
      <c r="C15" s="88">
        <f t="shared" si="2"/>
        <v>0.22359999999999999</v>
      </c>
      <c r="D15" s="88">
        <f t="shared" si="3"/>
        <v>0.24010000000000001</v>
      </c>
      <c r="E15" s="88">
        <f t="shared" si="4"/>
        <v>6.6900000000000001E-2</v>
      </c>
      <c r="F15" s="88">
        <f t="shared" si="5"/>
        <v>1.7000000000000001E-2</v>
      </c>
      <c r="G15" s="89">
        <v>0.224</v>
      </c>
      <c r="H15" s="89">
        <v>0.24</v>
      </c>
      <c r="I15" s="89">
        <v>6.7000000000000004E-2</v>
      </c>
      <c r="J15" s="89">
        <v>1.7000000000000001E-2</v>
      </c>
      <c r="K15" s="78">
        <f>((11/3)*L14)+((1/3)*L26)</f>
        <v>12675</v>
      </c>
      <c r="L15" s="96"/>
      <c r="R15" s="355"/>
      <c r="S15" s="355"/>
    </row>
    <row r="16" spans="1:19" s="80" customFormat="1">
      <c r="A16" s="79">
        <f t="shared" si="1"/>
        <v>37925</v>
      </c>
      <c r="B16" s="79">
        <f t="shared" si="0"/>
        <v>38290</v>
      </c>
      <c r="C16" s="88">
        <f t="shared" si="2"/>
        <v>0.22320000000000001</v>
      </c>
      <c r="D16" s="88">
        <f t="shared" si="3"/>
        <v>0.2402</v>
      </c>
      <c r="E16" s="88">
        <f t="shared" si="4"/>
        <v>6.6799999999999998E-2</v>
      </c>
      <c r="F16" s="88">
        <f t="shared" si="5"/>
        <v>1.7000000000000001E-2</v>
      </c>
      <c r="G16" s="89">
        <v>0.224</v>
      </c>
      <c r="H16" s="89">
        <v>0.24</v>
      </c>
      <c r="I16" s="89">
        <v>6.7000000000000004E-2</v>
      </c>
      <c r="J16" s="89">
        <v>1.7000000000000001E-2</v>
      </c>
      <c r="K16" s="78">
        <f>((10/3)*L14)+((2/3)*L26)</f>
        <v>12725</v>
      </c>
      <c r="L16" s="96"/>
      <c r="R16" s="355"/>
      <c r="S16" s="355"/>
    </row>
    <row r="17" spans="1:19" s="80" customFormat="1">
      <c r="A17" s="79">
        <f t="shared" si="1"/>
        <v>37955</v>
      </c>
      <c r="B17" s="79">
        <f t="shared" si="0"/>
        <v>38320</v>
      </c>
      <c r="C17" s="88">
        <f t="shared" si="2"/>
        <v>0.2228</v>
      </c>
      <c r="D17" s="88">
        <f t="shared" si="3"/>
        <v>0.24030000000000001</v>
      </c>
      <c r="E17" s="88">
        <f t="shared" si="4"/>
        <v>6.6799999999999998E-2</v>
      </c>
      <c r="F17" s="88">
        <f t="shared" si="5"/>
        <v>1.7000000000000001E-2</v>
      </c>
      <c r="G17" s="89">
        <v>0.224</v>
      </c>
      <c r="H17" s="89">
        <v>0.24</v>
      </c>
      <c r="I17" s="89">
        <v>6.7000000000000004E-2</v>
      </c>
      <c r="J17" s="89">
        <v>1.7000000000000001E-2</v>
      </c>
      <c r="K17" s="78">
        <f>((9/3)*L14)+((3/3)*L26)</f>
        <v>12776</v>
      </c>
      <c r="L17" s="96"/>
      <c r="R17" s="355"/>
      <c r="S17" s="355"/>
    </row>
    <row r="18" spans="1:19" s="80" customFormat="1">
      <c r="A18" s="79">
        <f t="shared" si="1"/>
        <v>37986</v>
      </c>
      <c r="B18" s="79">
        <f t="shared" si="0"/>
        <v>38351</v>
      </c>
      <c r="C18" s="88">
        <f t="shared" si="2"/>
        <v>0.2223</v>
      </c>
      <c r="D18" s="88">
        <f t="shared" si="3"/>
        <v>0.24030000000000001</v>
      </c>
      <c r="E18" s="88">
        <f t="shared" si="4"/>
        <v>6.6699999999999995E-2</v>
      </c>
      <c r="F18" s="88">
        <f t="shared" si="5"/>
        <v>1.7000000000000001E-2</v>
      </c>
      <c r="G18" s="89">
        <v>0.224</v>
      </c>
      <c r="H18" s="89">
        <v>0.24</v>
      </c>
      <c r="I18" s="89">
        <v>6.7000000000000004E-2</v>
      </c>
      <c r="J18" s="89">
        <v>1.7000000000000001E-2</v>
      </c>
      <c r="K18" s="78">
        <f>((8/3)*L14)+((4/3)*L26)</f>
        <v>12827</v>
      </c>
      <c r="L18" s="96"/>
      <c r="R18" s="355"/>
      <c r="S18" s="355"/>
    </row>
    <row r="19" spans="1:19" s="80" customFormat="1">
      <c r="A19" s="79">
        <f t="shared" si="1"/>
        <v>38017</v>
      </c>
      <c r="B19" s="79">
        <f t="shared" si="0"/>
        <v>38382</v>
      </c>
      <c r="C19" s="88">
        <f t="shared" si="2"/>
        <v>0.22189999999999999</v>
      </c>
      <c r="D19" s="88">
        <f t="shared" si="3"/>
        <v>0.2404</v>
      </c>
      <c r="E19" s="88">
        <f t="shared" ref="E19:E82" si="6">AVERAGE(I19:I30)</f>
        <v>6.6600000000000006E-2</v>
      </c>
      <c r="F19" s="88">
        <f t="shared" si="5"/>
        <v>1.7000000000000001E-2</v>
      </c>
      <c r="G19" s="89">
        <v>0.224</v>
      </c>
      <c r="H19" s="89">
        <v>0.24</v>
      </c>
      <c r="I19" s="89">
        <v>6.7000000000000004E-2</v>
      </c>
      <c r="J19" s="89">
        <v>1.7000000000000001E-2</v>
      </c>
      <c r="K19" s="78">
        <f>((7/3)*L14)+((5/3)*L26)</f>
        <v>12877</v>
      </c>
      <c r="L19" s="96"/>
      <c r="R19" s="355"/>
      <c r="S19" s="355"/>
    </row>
    <row r="20" spans="1:19" s="80" customFormat="1">
      <c r="A20" s="79">
        <f t="shared" si="1"/>
        <v>38046</v>
      </c>
      <c r="B20" s="79">
        <f t="shared" si="0"/>
        <v>38410</v>
      </c>
      <c r="C20" s="88">
        <f t="shared" si="2"/>
        <v>0.2215</v>
      </c>
      <c r="D20" s="88">
        <f t="shared" si="3"/>
        <v>0.24049999999999999</v>
      </c>
      <c r="E20" s="88">
        <f t="shared" si="6"/>
        <v>6.6500000000000004E-2</v>
      </c>
      <c r="F20" s="88">
        <f t="shared" si="5"/>
        <v>1.7000000000000001E-2</v>
      </c>
      <c r="G20" s="89">
        <v>0.224</v>
      </c>
      <c r="H20" s="89">
        <v>0.24</v>
      </c>
      <c r="I20" s="89">
        <v>6.7000000000000004E-2</v>
      </c>
      <c r="J20" s="89">
        <v>1.7000000000000001E-2</v>
      </c>
      <c r="K20" s="78">
        <f>((6/3)*L14)+((6/3)*L26)</f>
        <v>12928</v>
      </c>
      <c r="L20" s="96"/>
      <c r="R20" s="355"/>
      <c r="S20" s="355"/>
    </row>
    <row r="21" spans="1:19" s="80" customFormat="1">
      <c r="A21" s="79">
        <f t="shared" si="1"/>
        <v>38077</v>
      </c>
      <c r="B21" s="79">
        <f t="shared" si="0"/>
        <v>38441</v>
      </c>
      <c r="C21" s="88">
        <f t="shared" si="2"/>
        <v>0.22109999999999999</v>
      </c>
      <c r="D21" s="88">
        <f t="shared" si="3"/>
        <v>0.24060000000000001</v>
      </c>
      <c r="E21" s="88">
        <f t="shared" si="6"/>
        <v>6.6400000000000001E-2</v>
      </c>
      <c r="F21" s="88">
        <f t="shared" si="5"/>
        <v>1.7000000000000001E-2</v>
      </c>
      <c r="G21" s="89">
        <v>0.224</v>
      </c>
      <c r="H21" s="89">
        <v>0.24</v>
      </c>
      <c r="I21" s="89">
        <v>6.7000000000000004E-2</v>
      </c>
      <c r="J21" s="89">
        <v>1.7000000000000001E-2</v>
      </c>
      <c r="K21" s="78">
        <f>((5/3)*L14)+((7/3)*L26)</f>
        <v>12979</v>
      </c>
      <c r="L21" s="96"/>
      <c r="R21" s="355"/>
      <c r="S21" s="355"/>
    </row>
    <row r="22" spans="1:19" s="80" customFormat="1">
      <c r="A22" s="79">
        <f t="shared" si="1"/>
        <v>38107</v>
      </c>
      <c r="B22" s="79">
        <f t="shared" si="0"/>
        <v>38471</v>
      </c>
      <c r="C22" s="88">
        <f t="shared" si="2"/>
        <v>0.22070000000000001</v>
      </c>
      <c r="D22" s="88">
        <f t="shared" si="3"/>
        <v>0.2407</v>
      </c>
      <c r="E22" s="88">
        <f t="shared" si="6"/>
        <v>6.6299999999999998E-2</v>
      </c>
      <c r="F22" s="88">
        <f t="shared" si="5"/>
        <v>1.7000000000000001E-2</v>
      </c>
      <c r="G22" s="89">
        <v>0.224</v>
      </c>
      <c r="H22" s="89">
        <v>0.24</v>
      </c>
      <c r="I22" s="89">
        <v>6.7000000000000004E-2</v>
      </c>
      <c r="J22" s="89">
        <v>1.7000000000000001E-2</v>
      </c>
      <c r="K22" s="78">
        <f>((4/3)*L14)+((8/3)*L26)</f>
        <v>13029</v>
      </c>
      <c r="L22" s="96"/>
      <c r="R22" s="355"/>
      <c r="S22" s="355"/>
    </row>
    <row r="23" spans="1:19" s="80" customFormat="1">
      <c r="A23" s="79">
        <f t="shared" si="1"/>
        <v>38138</v>
      </c>
      <c r="B23" s="79">
        <f t="shared" si="0"/>
        <v>38502</v>
      </c>
      <c r="C23" s="88">
        <f t="shared" si="2"/>
        <v>0.2203</v>
      </c>
      <c r="D23" s="88">
        <f t="shared" si="3"/>
        <v>0.24079999999999999</v>
      </c>
      <c r="E23" s="88">
        <f t="shared" si="6"/>
        <v>6.6299999999999998E-2</v>
      </c>
      <c r="F23" s="88">
        <f t="shared" si="5"/>
        <v>1.7000000000000001E-2</v>
      </c>
      <c r="G23" s="89">
        <v>0.224</v>
      </c>
      <c r="H23" s="89">
        <v>0.24</v>
      </c>
      <c r="I23" s="89">
        <v>6.7000000000000004E-2</v>
      </c>
      <c r="J23" s="89">
        <v>1.7000000000000001E-2</v>
      </c>
      <c r="K23" s="78">
        <f>((3/3)*L14)+((9/3)*L26)</f>
        <v>13080</v>
      </c>
      <c r="L23" s="96"/>
      <c r="R23" s="355"/>
      <c r="S23" s="355"/>
    </row>
    <row r="24" spans="1:19" s="80" customFormat="1">
      <c r="A24" s="79">
        <f t="shared" si="1"/>
        <v>38168</v>
      </c>
      <c r="B24" s="79">
        <f t="shared" si="0"/>
        <v>38532</v>
      </c>
      <c r="C24" s="88">
        <f t="shared" si="2"/>
        <v>0.2198</v>
      </c>
      <c r="D24" s="88">
        <f t="shared" si="3"/>
        <v>0.24079999999999999</v>
      </c>
      <c r="E24" s="88">
        <f t="shared" si="6"/>
        <v>6.6199999999999995E-2</v>
      </c>
      <c r="F24" s="88">
        <f t="shared" si="5"/>
        <v>1.7000000000000001E-2</v>
      </c>
      <c r="G24" s="89">
        <v>0.224</v>
      </c>
      <c r="H24" s="89">
        <v>0.24</v>
      </c>
      <c r="I24" s="89">
        <v>6.7000000000000004E-2</v>
      </c>
      <c r="J24" s="89">
        <v>1.7000000000000001E-2</v>
      </c>
      <c r="K24" s="78">
        <f>((2/3)*L14)+((10/3)*L26)</f>
        <v>13131</v>
      </c>
      <c r="L24" s="96"/>
      <c r="R24" s="355"/>
      <c r="S24" s="355"/>
    </row>
    <row r="25" spans="1:19" s="80" customFormat="1">
      <c r="A25" s="79">
        <f t="shared" si="1"/>
        <v>38199</v>
      </c>
      <c r="B25" s="79">
        <f t="shared" si="0"/>
        <v>38563</v>
      </c>
      <c r="C25" s="88">
        <f t="shared" si="2"/>
        <v>0.21940000000000001</v>
      </c>
      <c r="D25" s="88">
        <f t="shared" si="3"/>
        <v>0.2409</v>
      </c>
      <c r="E25" s="88">
        <f t="shared" si="6"/>
        <v>6.6100000000000006E-2</v>
      </c>
      <c r="F25" s="88">
        <f t="shared" si="5"/>
        <v>1.7000000000000001E-2</v>
      </c>
      <c r="G25" s="89">
        <v>0.224</v>
      </c>
      <c r="H25" s="89">
        <v>0.24</v>
      </c>
      <c r="I25" s="89">
        <v>6.7000000000000004E-2</v>
      </c>
      <c r="J25" s="89">
        <v>1.7000000000000001E-2</v>
      </c>
      <c r="K25" s="78">
        <f>((1/3)*L14)+((11/3)*L26)</f>
        <v>13181</v>
      </c>
      <c r="L25" s="96"/>
      <c r="R25" s="355"/>
      <c r="S25" s="355"/>
    </row>
    <row r="26" spans="1:19">
      <c r="A26" s="19">
        <f t="shared" si="1"/>
        <v>38230</v>
      </c>
      <c r="B26" s="19">
        <f t="shared" si="0"/>
        <v>38594</v>
      </c>
      <c r="C26" s="86">
        <f t="shared" si="2"/>
        <v>0.219</v>
      </c>
      <c r="D26" s="86">
        <f t="shared" si="3"/>
        <v>0.24099999999999999</v>
      </c>
      <c r="E26" s="86">
        <f t="shared" si="6"/>
        <v>6.6000000000000003E-2</v>
      </c>
      <c r="F26" s="86">
        <f t="shared" si="5"/>
        <v>1.7000000000000001E-2</v>
      </c>
      <c r="G26" s="87">
        <v>0.219</v>
      </c>
      <c r="H26" s="87">
        <v>0.24099999999999999</v>
      </c>
      <c r="I26" s="87">
        <v>6.6000000000000003E-2</v>
      </c>
      <c r="J26" s="87">
        <v>1.7000000000000001E-2</v>
      </c>
      <c r="K26" s="25">
        <f>(L26*4)</f>
        <v>13232</v>
      </c>
      <c r="L26" s="95">
        <v>3308</v>
      </c>
    </row>
    <row r="27" spans="1:19">
      <c r="A27" s="19">
        <f t="shared" si="1"/>
        <v>38260</v>
      </c>
      <c r="B27" s="19">
        <f t="shared" si="0"/>
        <v>38624</v>
      </c>
      <c r="C27" s="86">
        <f t="shared" si="2"/>
        <v>0.21990000000000001</v>
      </c>
      <c r="D27" s="86">
        <f t="shared" si="3"/>
        <v>0.24129999999999999</v>
      </c>
      <c r="E27" s="86">
        <f t="shared" si="6"/>
        <v>6.6199999999999995E-2</v>
      </c>
      <c r="F27" s="86">
        <f t="shared" si="5"/>
        <v>1.72E-2</v>
      </c>
      <c r="G27" s="87">
        <v>0.219</v>
      </c>
      <c r="H27" s="87">
        <v>0.24099999999999999</v>
      </c>
      <c r="I27" s="87">
        <v>6.6000000000000003E-2</v>
      </c>
      <c r="J27" s="87">
        <v>1.7000000000000001E-2</v>
      </c>
      <c r="K27" s="25">
        <f>((11/3)*L26)+((1/3)*L38)</f>
        <v>13005</v>
      </c>
      <c r="L27" s="95"/>
    </row>
    <row r="28" spans="1:19">
      <c r="A28" s="19">
        <f t="shared" si="1"/>
        <v>38291</v>
      </c>
      <c r="B28" s="19">
        <f t="shared" si="0"/>
        <v>38655</v>
      </c>
      <c r="C28" s="86">
        <f t="shared" si="2"/>
        <v>0.2208</v>
      </c>
      <c r="D28" s="86">
        <f t="shared" si="3"/>
        <v>0.2417</v>
      </c>
      <c r="E28" s="86">
        <f t="shared" si="6"/>
        <v>6.6299999999999998E-2</v>
      </c>
      <c r="F28" s="86">
        <f t="shared" si="5"/>
        <v>1.7299999999999999E-2</v>
      </c>
      <c r="G28" s="87">
        <v>0.219</v>
      </c>
      <c r="H28" s="87">
        <v>0.24099999999999999</v>
      </c>
      <c r="I28" s="87">
        <v>6.6000000000000003E-2</v>
      </c>
      <c r="J28" s="87">
        <v>1.7000000000000001E-2</v>
      </c>
      <c r="K28" s="25">
        <f>((10/3)*L26)+((2/3)*L38)</f>
        <v>12779</v>
      </c>
      <c r="L28" s="95"/>
    </row>
    <row r="29" spans="1:19">
      <c r="A29" s="19">
        <f t="shared" si="1"/>
        <v>38321</v>
      </c>
      <c r="B29" s="19">
        <f t="shared" si="0"/>
        <v>38685</v>
      </c>
      <c r="C29" s="86">
        <f t="shared" si="2"/>
        <v>0.2218</v>
      </c>
      <c r="D29" s="86">
        <f t="shared" si="3"/>
        <v>0.24199999999999999</v>
      </c>
      <c r="E29" s="86">
        <f t="shared" si="6"/>
        <v>6.6500000000000004E-2</v>
      </c>
      <c r="F29" s="86">
        <f t="shared" si="5"/>
        <v>1.7500000000000002E-2</v>
      </c>
      <c r="G29" s="87">
        <v>0.219</v>
      </c>
      <c r="H29" s="87">
        <v>0.24099999999999999</v>
      </c>
      <c r="I29" s="87">
        <v>6.6000000000000003E-2</v>
      </c>
      <c r="J29" s="87">
        <v>1.7000000000000001E-2</v>
      </c>
      <c r="K29" s="25">
        <f>((9/3)*L26)+((3/3)*L38)</f>
        <v>12552</v>
      </c>
      <c r="L29" s="95"/>
    </row>
    <row r="30" spans="1:19">
      <c r="A30" s="19">
        <f t="shared" si="1"/>
        <v>38352</v>
      </c>
      <c r="B30" s="19">
        <f t="shared" si="0"/>
        <v>38716</v>
      </c>
      <c r="C30" s="86">
        <f t="shared" si="2"/>
        <v>0.22270000000000001</v>
      </c>
      <c r="D30" s="86">
        <f t="shared" si="3"/>
        <v>0.24229999999999999</v>
      </c>
      <c r="E30" s="86">
        <f t="shared" si="6"/>
        <v>6.6699999999999995E-2</v>
      </c>
      <c r="F30" s="86">
        <f t="shared" si="5"/>
        <v>1.77E-2</v>
      </c>
      <c r="G30" s="87">
        <v>0.219</v>
      </c>
      <c r="H30" s="87">
        <v>0.24099999999999999</v>
      </c>
      <c r="I30" s="87">
        <v>6.6000000000000003E-2</v>
      </c>
      <c r="J30" s="87">
        <v>1.7000000000000001E-2</v>
      </c>
      <c r="K30" s="25">
        <f>((8/3)*L26)+((4/3)*L38)</f>
        <v>12325</v>
      </c>
      <c r="L30" s="95"/>
      <c r="M30" s="82"/>
      <c r="N30" s="82"/>
    </row>
    <row r="31" spans="1:19">
      <c r="A31" s="19">
        <f t="shared" si="1"/>
        <v>38383</v>
      </c>
      <c r="B31" s="19">
        <f t="shared" si="0"/>
        <v>38747</v>
      </c>
      <c r="C31" s="86">
        <f t="shared" si="2"/>
        <v>0.22359999999999999</v>
      </c>
      <c r="D31" s="86">
        <f t="shared" si="3"/>
        <v>0.2427</v>
      </c>
      <c r="E31" s="86">
        <f t="shared" si="6"/>
        <v>6.6799999999999998E-2</v>
      </c>
      <c r="F31" s="86">
        <f t="shared" si="5"/>
        <v>1.78E-2</v>
      </c>
      <c r="G31" s="87">
        <v>0.219</v>
      </c>
      <c r="H31" s="87">
        <v>0.24099999999999999</v>
      </c>
      <c r="I31" s="87">
        <v>6.6000000000000003E-2</v>
      </c>
      <c r="J31" s="87">
        <v>1.7000000000000001E-2</v>
      </c>
      <c r="K31" s="25">
        <f>((7/3)*L26)+((5/3)*L38)</f>
        <v>12099</v>
      </c>
      <c r="L31" s="95"/>
      <c r="M31" s="82"/>
      <c r="N31" s="82"/>
    </row>
    <row r="32" spans="1:19">
      <c r="A32" s="19">
        <f t="shared" si="1"/>
        <v>38411</v>
      </c>
      <c r="B32" s="19">
        <f t="shared" si="0"/>
        <v>38775</v>
      </c>
      <c r="C32" s="86">
        <f t="shared" si="2"/>
        <v>0.22450000000000001</v>
      </c>
      <c r="D32" s="86">
        <f t="shared" si="3"/>
        <v>0.24299999999999999</v>
      </c>
      <c r="E32" s="86">
        <f t="shared" si="6"/>
        <v>6.7000000000000004E-2</v>
      </c>
      <c r="F32" s="86">
        <f t="shared" si="5"/>
        <v>1.7999999999999999E-2</v>
      </c>
      <c r="G32" s="87">
        <v>0.219</v>
      </c>
      <c r="H32" s="87">
        <v>0.24099999999999999</v>
      </c>
      <c r="I32" s="87">
        <v>6.6000000000000003E-2</v>
      </c>
      <c r="J32" s="87">
        <v>1.7000000000000001E-2</v>
      </c>
      <c r="K32" s="25">
        <f>((6/3)*L26)+((6/3)*L38)</f>
        <v>11872</v>
      </c>
      <c r="L32" s="95"/>
    </row>
    <row r="33" spans="1:19">
      <c r="A33" s="19">
        <f t="shared" si="1"/>
        <v>38442</v>
      </c>
      <c r="B33" s="19">
        <f t="shared" si="0"/>
        <v>38806</v>
      </c>
      <c r="C33" s="86">
        <f t="shared" si="2"/>
        <v>0.22539999999999999</v>
      </c>
      <c r="D33" s="86">
        <f t="shared" si="3"/>
        <v>0.24329999999999999</v>
      </c>
      <c r="E33" s="86">
        <f t="shared" si="6"/>
        <v>6.7199999999999996E-2</v>
      </c>
      <c r="F33" s="86">
        <f t="shared" si="5"/>
        <v>1.8200000000000001E-2</v>
      </c>
      <c r="G33" s="87">
        <v>0.219</v>
      </c>
      <c r="H33" s="87">
        <v>0.24099999999999999</v>
      </c>
      <c r="I33" s="87">
        <v>6.6000000000000003E-2</v>
      </c>
      <c r="J33" s="87">
        <v>1.7000000000000001E-2</v>
      </c>
      <c r="K33" s="25">
        <f>((5/3)*L26)+((7/3)*L38)</f>
        <v>11645</v>
      </c>
      <c r="L33" s="95"/>
    </row>
    <row r="34" spans="1:19">
      <c r="A34" s="19">
        <f t="shared" si="1"/>
        <v>38472</v>
      </c>
      <c r="B34" s="19">
        <f t="shared" si="0"/>
        <v>38836</v>
      </c>
      <c r="C34" s="86">
        <f t="shared" si="2"/>
        <v>0.2263</v>
      </c>
      <c r="D34" s="86">
        <f t="shared" si="3"/>
        <v>0.2437</v>
      </c>
      <c r="E34" s="86">
        <f t="shared" si="6"/>
        <v>6.7299999999999999E-2</v>
      </c>
      <c r="F34" s="86">
        <f t="shared" si="5"/>
        <v>1.83E-2</v>
      </c>
      <c r="G34" s="87">
        <v>0.219</v>
      </c>
      <c r="H34" s="87">
        <v>0.24099999999999999</v>
      </c>
      <c r="I34" s="87">
        <v>6.6000000000000003E-2</v>
      </c>
      <c r="J34" s="87">
        <v>1.7000000000000001E-2</v>
      </c>
      <c r="K34" s="25">
        <f>((4/3)*L26)+((8/3)*L38)</f>
        <v>11419</v>
      </c>
      <c r="L34" s="95"/>
    </row>
    <row r="35" spans="1:19">
      <c r="A35" s="19">
        <f t="shared" si="1"/>
        <v>38503</v>
      </c>
      <c r="B35" s="19">
        <f t="shared" si="0"/>
        <v>38867</v>
      </c>
      <c r="C35" s="86">
        <f t="shared" si="2"/>
        <v>0.2273</v>
      </c>
      <c r="D35" s="86">
        <f t="shared" si="3"/>
        <v>0.24399999999999999</v>
      </c>
      <c r="E35" s="86">
        <f t="shared" si="6"/>
        <v>6.7500000000000004E-2</v>
      </c>
      <c r="F35" s="86">
        <f t="shared" si="5"/>
        <v>1.8499999999999999E-2</v>
      </c>
      <c r="G35" s="87">
        <v>0.219</v>
      </c>
      <c r="H35" s="87">
        <v>0.24099999999999999</v>
      </c>
      <c r="I35" s="87">
        <v>6.6000000000000003E-2</v>
      </c>
      <c r="J35" s="87">
        <v>1.7000000000000001E-2</v>
      </c>
      <c r="K35" s="25">
        <f>((3/3)*L26)+((9/3)*L38)</f>
        <v>11192</v>
      </c>
      <c r="L35" s="95"/>
    </row>
    <row r="36" spans="1:19">
      <c r="A36" s="19">
        <f t="shared" si="1"/>
        <v>38533</v>
      </c>
      <c r="B36" s="19">
        <f t="shared" si="0"/>
        <v>38897</v>
      </c>
      <c r="C36" s="86">
        <f t="shared" si="2"/>
        <v>0.22819999999999999</v>
      </c>
      <c r="D36" s="86">
        <f t="shared" si="3"/>
        <v>0.24429999999999999</v>
      </c>
      <c r="E36" s="86">
        <f t="shared" si="6"/>
        <v>6.7699999999999996E-2</v>
      </c>
      <c r="F36" s="86">
        <f t="shared" si="5"/>
        <v>1.8700000000000001E-2</v>
      </c>
      <c r="G36" s="87">
        <v>0.219</v>
      </c>
      <c r="H36" s="87">
        <v>0.24099999999999999</v>
      </c>
      <c r="I36" s="87">
        <v>6.6000000000000003E-2</v>
      </c>
      <c r="J36" s="87">
        <v>1.7000000000000001E-2</v>
      </c>
      <c r="K36" s="25">
        <f>((2/3)*L26)+((10/3)*L38)</f>
        <v>10965</v>
      </c>
      <c r="L36" s="95"/>
    </row>
    <row r="37" spans="1:19">
      <c r="A37" s="19">
        <f t="shared" si="1"/>
        <v>38564</v>
      </c>
      <c r="B37" s="19">
        <f t="shared" si="0"/>
        <v>38928</v>
      </c>
      <c r="C37" s="86">
        <f t="shared" si="2"/>
        <v>0.2291</v>
      </c>
      <c r="D37" s="86">
        <f t="shared" si="3"/>
        <v>0.2447</v>
      </c>
      <c r="E37" s="86">
        <f t="shared" si="6"/>
        <v>6.7799999999999999E-2</v>
      </c>
      <c r="F37" s="86">
        <f t="shared" si="5"/>
        <v>1.8800000000000001E-2</v>
      </c>
      <c r="G37" s="87">
        <v>0.219</v>
      </c>
      <c r="H37" s="87">
        <v>0.24099999999999999</v>
      </c>
      <c r="I37" s="87">
        <v>6.6000000000000003E-2</v>
      </c>
      <c r="J37" s="87">
        <v>1.7000000000000001E-2</v>
      </c>
      <c r="K37" s="25">
        <f>((1/3)*L26)+((11/3)*L38)</f>
        <v>10739</v>
      </c>
      <c r="L37" s="95"/>
    </row>
    <row r="38" spans="1:19" s="80" customFormat="1">
      <c r="A38" s="79">
        <f t="shared" si="1"/>
        <v>38595</v>
      </c>
      <c r="B38" s="79">
        <f t="shared" si="0"/>
        <v>38959</v>
      </c>
      <c r="C38" s="88">
        <f t="shared" si="2"/>
        <v>0.23</v>
      </c>
      <c r="D38" s="88">
        <f t="shared" si="3"/>
        <v>0.245</v>
      </c>
      <c r="E38" s="88">
        <f t="shared" si="6"/>
        <v>6.8000000000000005E-2</v>
      </c>
      <c r="F38" s="88">
        <f t="shared" si="5"/>
        <v>1.9E-2</v>
      </c>
      <c r="G38" s="89">
        <v>0.23</v>
      </c>
      <c r="H38" s="89">
        <v>0.245</v>
      </c>
      <c r="I38" s="89">
        <v>6.8000000000000005E-2</v>
      </c>
      <c r="J38" s="89">
        <v>1.9E-2</v>
      </c>
      <c r="K38" s="78">
        <f>(L38*4)</f>
        <v>10512</v>
      </c>
      <c r="L38" s="96">
        <v>2628</v>
      </c>
      <c r="O38" s="338"/>
      <c r="P38" s="338"/>
      <c r="R38" s="355"/>
      <c r="S38" s="355"/>
    </row>
    <row r="39" spans="1:19" s="80" customFormat="1">
      <c r="A39" s="79">
        <f t="shared" si="1"/>
        <v>38625</v>
      </c>
      <c r="B39" s="79">
        <f t="shared" si="0"/>
        <v>38989</v>
      </c>
      <c r="C39" s="88">
        <f t="shared" si="2"/>
        <v>0.23080000000000001</v>
      </c>
      <c r="D39" s="88">
        <f t="shared" si="3"/>
        <v>0.24579999999999999</v>
      </c>
      <c r="E39" s="88">
        <f t="shared" si="6"/>
        <v>6.8000000000000005E-2</v>
      </c>
      <c r="F39" s="88">
        <f t="shared" si="5"/>
        <v>1.89E-2</v>
      </c>
      <c r="G39" s="89">
        <v>0.23</v>
      </c>
      <c r="H39" s="89">
        <v>0.245</v>
      </c>
      <c r="I39" s="89">
        <v>6.8000000000000005E-2</v>
      </c>
      <c r="J39" s="89">
        <v>1.9E-2</v>
      </c>
      <c r="K39" s="78">
        <f>((11/3)*L38)+((1/3)*L50)</f>
        <v>10552</v>
      </c>
      <c r="L39" s="96"/>
      <c r="R39" s="355"/>
      <c r="S39" s="355"/>
    </row>
    <row r="40" spans="1:19" s="80" customFormat="1">
      <c r="A40" s="79">
        <f t="shared" si="1"/>
        <v>38656</v>
      </c>
      <c r="B40" s="79">
        <f t="shared" si="0"/>
        <v>39020</v>
      </c>
      <c r="C40" s="88">
        <f t="shared" si="2"/>
        <v>0.23169999999999999</v>
      </c>
      <c r="D40" s="88">
        <f t="shared" si="3"/>
        <v>0.2467</v>
      </c>
      <c r="E40" s="88">
        <f t="shared" si="6"/>
        <v>6.8000000000000005E-2</v>
      </c>
      <c r="F40" s="88">
        <f t="shared" si="5"/>
        <v>1.8800000000000001E-2</v>
      </c>
      <c r="G40" s="89">
        <v>0.23</v>
      </c>
      <c r="H40" s="89">
        <v>0.245</v>
      </c>
      <c r="I40" s="89">
        <v>6.8000000000000005E-2</v>
      </c>
      <c r="J40" s="89">
        <v>1.9E-2</v>
      </c>
      <c r="K40" s="78">
        <f>((10/3)*L38)+((2/3)*L50)</f>
        <v>10592</v>
      </c>
      <c r="L40" s="96"/>
      <c r="R40" s="355"/>
      <c r="S40" s="355"/>
    </row>
    <row r="41" spans="1:19" s="80" customFormat="1">
      <c r="A41" s="79">
        <f t="shared" si="1"/>
        <v>38686</v>
      </c>
      <c r="B41" s="79">
        <f t="shared" si="0"/>
        <v>39050</v>
      </c>
      <c r="C41" s="88">
        <f t="shared" si="2"/>
        <v>0.23250000000000001</v>
      </c>
      <c r="D41" s="88">
        <f t="shared" si="3"/>
        <v>0.2475</v>
      </c>
      <c r="E41" s="88">
        <f t="shared" si="6"/>
        <v>6.8000000000000005E-2</v>
      </c>
      <c r="F41" s="88">
        <f t="shared" si="5"/>
        <v>1.8800000000000001E-2</v>
      </c>
      <c r="G41" s="89">
        <v>0.23</v>
      </c>
      <c r="H41" s="89">
        <v>0.245</v>
      </c>
      <c r="I41" s="89">
        <v>6.8000000000000005E-2</v>
      </c>
      <c r="J41" s="89">
        <v>1.9E-2</v>
      </c>
      <c r="K41" s="78">
        <f>((9/3)*L38)+((3/3)*L50)</f>
        <v>10632</v>
      </c>
      <c r="L41" s="96"/>
      <c r="R41" s="355"/>
      <c r="S41" s="355"/>
    </row>
    <row r="42" spans="1:19" s="80" customFormat="1">
      <c r="A42" s="79">
        <f t="shared" si="1"/>
        <v>38717</v>
      </c>
      <c r="B42" s="79">
        <f t="shared" si="0"/>
        <v>39081</v>
      </c>
      <c r="C42" s="88">
        <f t="shared" si="2"/>
        <v>0.23330000000000001</v>
      </c>
      <c r="D42" s="88">
        <f t="shared" si="3"/>
        <v>0.24829999999999999</v>
      </c>
      <c r="E42" s="88">
        <f t="shared" si="6"/>
        <v>6.8000000000000005E-2</v>
      </c>
      <c r="F42" s="88">
        <f t="shared" si="5"/>
        <v>1.8700000000000001E-2</v>
      </c>
      <c r="G42" s="89">
        <v>0.23</v>
      </c>
      <c r="H42" s="89">
        <v>0.245</v>
      </c>
      <c r="I42" s="89">
        <v>6.8000000000000005E-2</v>
      </c>
      <c r="J42" s="89">
        <v>1.9E-2</v>
      </c>
      <c r="K42" s="78">
        <f>((8/3)*L38)+((4/3)*L50)</f>
        <v>10672</v>
      </c>
      <c r="L42" s="96"/>
      <c r="R42" s="355"/>
      <c r="S42" s="355"/>
    </row>
    <row r="43" spans="1:19" s="80" customFormat="1">
      <c r="A43" s="79">
        <f t="shared" si="1"/>
        <v>38748</v>
      </c>
      <c r="B43" s="79">
        <f t="shared" si="0"/>
        <v>39112</v>
      </c>
      <c r="C43" s="88">
        <f t="shared" si="2"/>
        <v>0.23419999999999999</v>
      </c>
      <c r="D43" s="88">
        <f t="shared" si="3"/>
        <v>0.2492</v>
      </c>
      <c r="E43" s="88">
        <f t="shared" si="6"/>
        <v>6.8000000000000005E-2</v>
      </c>
      <c r="F43" s="88">
        <f t="shared" si="5"/>
        <v>1.8599999999999998E-2</v>
      </c>
      <c r="G43" s="89">
        <v>0.23</v>
      </c>
      <c r="H43" s="89">
        <v>0.245</v>
      </c>
      <c r="I43" s="89">
        <v>6.8000000000000005E-2</v>
      </c>
      <c r="J43" s="89">
        <v>1.9E-2</v>
      </c>
      <c r="K43" s="78">
        <f>((7/3)*L38)+((5/3)*L50)</f>
        <v>10712</v>
      </c>
      <c r="L43" s="96"/>
      <c r="R43" s="355"/>
      <c r="S43" s="355"/>
    </row>
    <row r="44" spans="1:19" s="80" customFormat="1">
      <c r="A44" s="79">
        <f t="shared" si="1"/>
        <v>38776</v>
      </c>
      <c r="B44" s="79">
        <f t="shared" si="0"/>
        <v>39140</v>
      </c>
      <c r="C44" s="88">
        <f t="shared" si="2"/>
        <v>0.23499999999999999</v>
      </c>
      <c r="D44" s="88">
        <f t="shared" si="3"/>
        <v>0.25</v>
      </c>
      <c r="E44" s="88">
        <f t="shared" si="6"/>
        <v>6.8000000000000005E-2</v>
      </c>
      <c r="F44" s="88">
        <f t="shared" si="5"/>
        <v>1.8499999999999999E-2</v>
      </c>
      <c r="G44" s="89">
        <v>0.23</v>
      </c>
      <c r="H44" s="89">
        <v>0.245</v>
      </c>
      <c r="I44" s="89">
        <v>6.8000000000000005E-2</v>
      </c>
      <c r="J44" s="89">
        <v>1.9E-2</v>
      </c>
      <c r="K44" s="78">
        <f>((6/3)*L38)+((6/3)*L50)</f>
        <v>10752</v>
      </c>
      <c r="L44" s="96"/>
      <c r="R44" s="355"/>
      <c r="S44" s="355"/>
    </row>
    <row r="45" spans="1:19" s="80" customFormat="1">
      <c r="A45" s="79">
        <f t="shared" si="1"/>
        <v>38807</v>
      </c>
      <c r="B45" s="79">
        <f t="shared" si="0"/>
        <v>39171</v>
      </c>
      <c r="C45" s="88">
        <f t="shared" si="2"/>
        <v>0.23580000000000001</v>
      </c>
      <c r="D45" s="88">
        <f t="shared" si="3"/>
        <v>0.25080000000000002</v>
      </c>
      <c r="E45" s="88">
        <f t="shared" si="6"/>
        <v>6.8000000000000005E-2</v>
      </c>
      <c r="F45" s="88">
        <f t="shared" si="5"/>
        <v>1.84E-2</v>
      </c>
      <c r="G45" s="89">
        <v>0.23</v>
      </c>
      <c r="H45" s="89">
        <v>0.245</v>
      </c>
      <c r="I45" s="89">
        <v>6.8000000000000005E-2</v>
      </c>
      <c r="J45" s="89">
        <v>1.9E-2</v>
      </c>
      <c r="K45" s="78">
        <f>((5/3)*L38)+((7/3)*L50)</f>
        <v>10792</v>
      </c>
      <c r="L45" s="96"/>
      <c r="R45" s="355"/>
      <c r="S45" s="355"/>
    </row>
    <row r="46" spans="1:19" s="80" customFormat="1">
      <c r="A46" s="79">
        <f t="shared" si="1"/>
        <v>38837</v>
      </c>
      <c r="B46" s="79">
        <f t="shared" si="0"/>
        <v>39201</v>
      </c>
      <c r="C46" s="88">
        <f t="shared" si="2"/>
        <v>0.23669999999999999</v>
      </c>
      <c r="D46" s="88">
        <f t="shared" si="3"/>
        <v>0.25169999999999998</v>
      </c>
      <c r="E46" s="88">
        <f t="shared" si="6"/>
        <v>6.8000000000000005E-2</v>
      </c>
      <c r="F46" s="88">
        <f t="shared" si="5"/>
        <v>1.83E-2</v>
      </c>
      <c r="G46" s="89">
        <v>0.23</v>
      </c>
      <c r="H46" s="89">
        <v>0.245</v>
      </c>
      <c r="I46" s="89">
        <v>6.8000000000000005E-2</v>
      </c>
      <c r="J46" s="89">
        <v>1.9E-2</v>
      </c>
      <c r="K46" s="78">
        <f>((4/3)*L38)+((8/3)*L50)</f>
        <v>10832</v>
      </c>
      <c r="L46" s="96"/>
      <c r="R46" s="355"/>
      <c r="S46" s="355"/>
    </row>
    <row r="47" spans="1:19" s="80" customFormat="1">
      <c r="A47" s="79">
        <f t="shared" si="1"/>
        <v>38868</v>
      </c>
      <c r="B47" s="79">
        <f t="shared" si="0"/>
        <v>39232</v>
      </c>
      <c r="C47" s="88">
        <f t="shared" si="2"/>
        <v>0.23749999999999999</v>
      </c>
      <c r="D47" s="88">
        <f t="shared" si="3"/>
        <v>0.2525</v>
      </c>
      <c r="E47" s="88">
        <f t="shared" si="6"/>
        <v>6.8000000000000005E-2</v>
      </c>
      <c r="F47" s="88">
        <f t="shared" si="5"/>
        <v>1.83E-2</v>
      </c>
      <c r="G47" s="89">
        <v>0.23</v>
      </c>
      <c r="H47" s="89">
        <v>0.245</v>
      </c>
      <c r="I47" s="89">
        <v>6.8000000000000005E-2</v>
      </c>
      <c r="J47" s="89">
        <v>1.9E-2</v>
      </c>
      <c r="K47" s="78">
        <f>((3/3)*L38)+((9/3)*L50)</f>
        <v>10872</v>
      </c>
      <c r="L47" s="96"/>
      <c r="R47" s="355"/>
      <c r="S47" s="355"/>
    </row>
    <row r="48" spans="1:19" s="80" customFormat="1">
      <c r="A48" s="79">
        <f t="shared" si="1"/>
        <v>38898</v>
      </c>
      <c r="B48" s="79">
        <f t="shared" si="0"/>
        <v>39262</v>
      </c>
      <c r="C48" s="88">
        <f t="shared" si="2"/>
        <v>0.23830000000000001</v>
      </c>
      <c r="D48" s="88">
        <f t="shared" si="3"/>
        <v>0.25330000000000003</v>
      </c>
      <c r="E48" s="88">
        <f t="shared" si="6"/>
        <v>6.8000000000000005E-2</v>
      </c>
      <c r="F48" s="88">
        <f t="shared" si="5"/>
        <v>1.8200000000000001E-2</v>
      </c>
      <c r="G48" s="89">
        <v>0.23</v>
      </c>
      <c r="H48" s="89">
        <v>0.245</v>
      </c>
      <c r="I48" s="89">
        <v>6.8000000000000005E-2</v>
      </c>
      <c r="J48" s="89">
        <v>1.9E-2</v>
      </c>
      <c r="K48" s="78">
        <f>((2/3)*L38)+((10/3)*L50)</f>
        <v>10912</v>
      </c>
      <c r="L48" s="96"/>
      <c r="R48" s="355"/>
      <c r="S48" s="355"/>
    </row>
    <row r="49" spans="1:19" s="80" customFormat="1">
      <c r="A49" s="79">
        <f t="shared" si="1"/>
        <v>38929</v>
      </c>
      <c r="B49" s="79">
        <f t="shared" si="0"/>
        <v>39293</v>
      </c>
      <c r="C49" s="88">
        <f t="shared" si="2"/>
        <v>0.2392</v>
      </c>
      <c r="D49" s="88">
        <f t="shared" si="3"/>
        <v>0.25419999999999998</v>
      </c>
      <c r="E49" s="88">
        <f t="shared" si="6"/>
        <v>6.8000000000000005E-2</v>
      </c>
      <c r="F49" s="88">
        <f t="shared" si="5"/>
        <v>1.8100000000000002E-2</v>
      </c>
      <c r="G49" s="89">
        <v>0.23</v>
      </c>
      <c r="H49" s="89">
        <v>0.245</v>
      </c>
      <c r="I49" s="89">
        <v>6.8000000000000005E-2</v>
      </c>
      <c r="J49" s="89">
        <v>1.9E-2</v>
      </c>
      <c r="K49" s="78">
        <f>((1/3)*L38)+((11/3)*L50)</f>
        <v>10952</v>
      </c>
      <c r="L49" s="96"/>
      <c r="R49" s="355"/>
      <c r="S49" s="355"/>
    </row>
    <row r="50" spans="1:19">
      <c r="A50" s="19">
        <f t="shared" si="1"/>
        <v>38960</v>
      </c>
      <c r="B50" s="19">
        <f t="shared" si="0"/>
        <v>39324</v>
      </c>
      <c r="C50" s="86">
        <f t="shared" si="2"/>
        <v>0.24</v>
      </c>
      <c r="D50" s="86">
        <f t="shared" si="3"/>
        <v>0.255</v>
      </c>
      <c r="E50" s="86">
        <f t="shared" si="6"/>
        <v>6.8000000000000005E-2</v>
      </c>
      <c r="F50" s="86">
        <f t="shared" si="5"/>
        <v>1.7999999999999999E-2</v>
      </c>
      <c r="G50" s="87">
        <v>0.24</v>
      </c>
      <c r="H50" s="87">
        <v>0.255</v>
      </c>
      <c r="I50" s="87">
        <v>6.8000000000000005E-2</v>
      </c>
      <c r="J50" s="87">
        <v>1.7999999999999999E-2</v>
      </c>
      <c r="K50" s="25">
        <f>(L50*4)</f>
        <v>10992</v>
      </c>
      <c r="L50" s="95">
        <v>2748</v>
      </c>
    </row>
    <row r="51" spans="1:19">
      <c r="A51" s="19">
        <f t="shared" si="1"/>
        <v>38990</v>
      </c>
      <c r="B51" s="19">
        <f t="shared" si="0"/>
        <v>39354</v>
      </c>
      <c r="C51" s="86">
        <f t="shared" si="2"/>
        <v>0.2414</v>
      </c>
      <c r="D51" s="86">
        <f t="shared" si="3"/>
        <v>0.25629999999999997</v>
      </c>
      <c r="E51" s="86">
        <f t="shared" si="6"/>
        <v>6.8099999999999994E-2</v>
      </c>
      <c r="F51" s="86">
        <f t="shared" si="5"/>
        <v>1.8200000000000001E-2</v>
      </c>
      <c r="G51" s="87">
        <v>0.24</v>
      </c>
      <c r="H51" s="87">
        <v>0.255</v>
      </c>
      <c r="I51" s="87">
        <v>6.8000000000000005E-2</v>
      </c>
      <c r="J51" s="87">
        <v>1.7999999999999999E-2</v>
      </c>
      <c r="K51" s="25">
        <f>((11/3)*L50)+((1/3)*L62)</f>
        <v>11032</v>
      </c>
      <c r="L51" s="97"/>
    </row>
    <row r="52" spans="1:19">
      <c r="A52" s="19">
        <f t="shared" si="1"/>
        <v>39021</v>
      </c>
      <c r="B52" s="19">
        <f t="shared" si="0"/>
        <v>39385</v>
      </c>
      <c r="C52" s="86">
        <f t="shared" si="2"/>
        <v>0.24279999999999999</v>
      </c>
      <c r="D52" s="86">
        <f t="shared" si="3"/>
        <v>0.25750000000000001</v>
      </c>
      <c r="E52" s="86">
        <f t="shared" si="6"/>
        <v>6.8199999999999997E-2</v>
      </c>
      <c r="F52" s="86">
        <f t="shared" si="5"/>
        <v>1.83E-2</v>
      </c>
      <c r="G52" s="87">
        <v>0.24</v>
      </c>
      <c r="H52" s="87">
        <v>0.255</v>
      </c>
      <c r="I52" s="87">
        <v>6.8000000000000005E-2</v>
      </c>
      <c r="J52" s="87">
        <v>1.7999999999999999E-2</v>
      </c>
      <c r="K52" s="25">
        <f>((10/3)*L50)+((2/3)*L62)</f>
        <v>11073</v>
      </c>
      <c r="L52" s="95"/>
    </row>
    <row r="53" spans="1:19">
      <c r="A53" s="19">
        <f t="shared" si="1"/>
        <v>39051</v>
      </c>
      <c r="B53" s="19">
        <f t="shared" si="0"/>
        <v>39415</v>
      </c>
      <c r="C53" s="86">
        <f t="shared" si="2"/>
        <v>0.24429999999999999</v>
      </c>
      <c r="D53" s="86">
        <f t="shared" si="3"/>
        <v>0.25879999999999997</v>
      </c>
      <c r="E53" s="86">
        <f t="shared" si="6"/>
        <v>6.83E-2</v>
      </c>
      <c r="F53" s="86">
        <f t="shared" si="5"/>
        <v>1.8499999999999999E-2</v>
      </c>
      <c r="G53" s="87">
        <v>0.24</v>
      </c>
      <c r="H53" s="87">
        <v>0.255</v>
      </c>
      <c r="I53" s="87">
        <v>6.8000000000000005E-2</v>
      </c>
      <c r="J53" s="87">
        <v>1.7999999999999999E-2</v>
      </c>
      <c r="K53" s="25">
        <f>((9/3)*L50)+((3/3)*L62)</f>
        <v>11113</v>
      </c>
      <c r="L53" s="95"/>
    </row>
    <row r="54" spans="1:19">
      <c r="A54" s="19">
        <f t="shared" si="1"/>
        <v>39082</v>
      </c>
      <c r="B54" s="19">
        <f t="shared" si="0"/>
        <v>39446</v>
      </c>
      <c r="C54" s="86">
        <f t="shared" si="2"/>
        <v>0.2457</v>
      </c>
      <c r="D54" s="86">
        <f t="shared" si="3"/>
        <v>0.26</v>
      </c>
      <c r="E54" s="86">
        <f t="shared" si="6"/>
        <v>6.83E-2</v>
      </c>
      <c r="F54" s="86">
        <f t="shared" si="5"/>
        <v>1.8700000000000001E-2</v>
      </c>
      <c r="G54" s="87">
        <v>0.24</v>
      </c>
      <c r="H54" s="87">
        <v>0.255</v>
      </c>
      <c r="I54" s="87">
        <v>6.8000000000000005E-2</v>
      </c>
      <c r="J54" s="87">
        <v>1.7999999999999999E-2</v>
      </c>
      <c r="K54" s="25">
        <f>((8/3)*L50)+((4/3)*L62)</f>
        <v>11153</v>
      </c>
      <c r="L54" s="95"/>
    </row>
    <row r="55" spans="1:19">
      <c r="A55" s="19">
        <f t="shared" si="1"/>
        <v>39113</v>
      </c>
      <c r="B55" s="19">
        <f t="shared" si="0"/>
        <v>39477</v>
      </c>
      <c r="C55" s="86">
        <f t="shared" si="2"/>
        <v>0.24709999999999999</v>
      </c>
      <c r="D55" s="86">
        <f t="shared" si="3"/>
        <v>0.26129999999999998</v>
      </c>
      <c r="E55" s="86">
        <f t="shared" si="6"/>
        <v>6.8400000000000002E-2</v>
      </c>
      <c r="F55" s="86">
        <f t="shared" si="5"/>
        <v>1.8800000000000001E-2</v>
      </c>
      <c r="G55" s="87">
        <v>0.24</v>
      </c>
      <c r="H55" s="87">
        <v>0.255</v>
      </c>
      <c r="I55" s="87">
        <v>6.8000000000000005E-2</v>
      </c>
      <c r="J55" s="87">
        <v>1.7999999999999999E-2</v>
      </c>
      <c r="K55" s="25">
        <f>((7/3)*L50)+((5/3)*L62)</f>
        <v>11194</v>
      </c>
      <c r="L55" s="95"/>
    </row>
    <row r="56" spans="1:19">
      <c r="A56" s="19">
        <f t="shared" si="1"/>
        <v>39141</v>
      </c>
      <c r="B56" s="19">
        <f t="shared" si="0"/>
        <v>39506</v>
      </c>
      <c r="C56" s="86">
        <f t="shared" si="2"/>
        <v>0.2485</v>
      </c>
      <c r="D56" s="86">
        <f t="shared" si="3"/>
        <v>0.26250000000000001</v>
      </c>
      <c r="E56" s="86">
        <f t="shared" si="6"/>
        <v>6.8500000000000005E-2</v>
      </c>
      <c r="F56" s="86">
        <f t="shared" si="5"/>
        <v>1.9E-2</v>
      </c>
      <c r="G56" s="87">
        <v>0.24</v>
      </c>
      <c r="H56" s="87">
        <v>0.255</v>
      </c>
      <c r="I56" s="87">
        <v>6.8000000000000005E-2</v>
      </c>
      <c r="J56" s="87">
        <v>1.7999999999999999E-2</v>
      </c>
      <c r="K56" s="25">
        <f>((6/3)*L50)+((6/3)*L62)</f>
        <v>11234</v>
      </c>
      <c r="L56" s="95"/>
    </row>
    <row r="57" spans="1:19">
      <c r="A57" s="19">
        <f t="shared" si="1"/>
        <v>39172</v>
      </c>
      <c r="B57" s="19">
        <f t="shared" si="0"/>
        <v>39537</v>
      </c>
      <c r="C57" s="86">
        <f t="shared" si="2"/>
        <v>0.24990000000000001</v>
      </c>
      <c r="D57" s="86">
        <f t="shared" si="3"/>
        <v>0.26379999999999998</v>
      </c>
      <c r="E57" s="86">
        <f t="shared" si="6"/>
        <v>6.8599999999999994E-2</v>
      </c>
      <c r="F57" s="86">
        <f t="shared" si="5"/>
        <v>1.9199999999999998E-2</v>
      </c>
      <c r="G57" s="87">
        <v>0.24</v>
      </c>
      <c r="H57" s="87">
        <v>0.255</v>
      </c>
      <c r="I57" s="87">
        <v>6.8000000000000005E-2</v>
      </c>
      <c r="J57" s="87">
        <v>1.7999999999999999E-2</v>
      </c>
      <c r="K57" s="25">
        <f>((5/3)*L50)+((7/3)*L62)</f>
        <v>11274</v>
      </c>
      <c r="L57" s="95"/>
    </row>
    <row r="58" spans="1:19">
      <c r="A58" s="19">
        <f t="shared" si="1"/>
        <v>39202</v>
      </c>
      <c r="B58" s="19">
        <f t="shared" si="0"/>
        <v>39567</v>
      </c>
      <c r="C58" s="86">
        <f t="shared" si="2"/>
        <v>0.25130000000000002</v>
      </c>
      <c r="D58" s="86">
        <f t="shared" si="3"/>
        <v>0.26500000000000001</v>
      </c>
      <c r="E58" s="86">
        <f t="shared" si="6"/>
        <v>6.8699999999999997E-2</v>
      </c>
      <c r="F58" s="86">
        <f t="shared" si="5"/>
        <v>1.9300000000000001E-2</v>
      </c>
      <c r="G58" s="87">
        <v>0.24</v>
      </c>
      <c r="H58" s="87">
        <v>0.255</v>
      </c>
      <c r="I58" s="87">
        <v>6.8000000000000005E-2</v>
      </c>
      <c r="J58" s="87">
        <v>1.7999999999999999E-2</v>
      </c>
      <c r="K58" s="25">
        <f>((4/3)*L50)+((8/3)*L62)</f>
        <v>11315</v>
      </c>
      <c r="L58" s="95"/>
    </row>
    <row r="59" spans="1:19">
      <c r="A59" s="19">
        <f t="shared" si="1"/>
        <v>39233</v>
      </c>
      <c r="B59" s="19">
        <f t="shared" si="0"/>
        <v>39598</v>
      </c>
      <c r="C59" s="86">
        <f t="shared" si="2"/>
        <v>0.25280000000000002</v>
      </c>
      <c r="D59" s="86">
        <f t="shared" si="3"/>
        <v>0.26629999999999998</v>
      </c>
      <c r="E59" s="86">
        <f t="shared" si="6"/>
        <v>6.88E-2</v>
      </c>
      <c r="F59" s="86">
        <f t="shared" si="5"/>
        <v>1.95E-2</v>
      </c>
      <c r="G59" s="87">
        <v>0.24</v>
      </c>
      <c r="H59" s="87">
        <v>0.255</v>
      </c>
      <c r="I59" s="87">
        <v>6.8000000000000005E-2</v>
      </c>
      <c r="J59" s="87">
        <v>1.7999999999999999E-2</v>
      </c>
      <c r="K59" s="25">
        <f>((3/3)*L50)+((9/3)*L62)</f>
        <v>11355</v>
      </c>
      <c r="L59" s="95"/>
    </row>
    <row r="60" spans="1:19">
      <c r="A60" s="19">
        <f t="shared" si="1"/>
        <v>39263</v>
      </c>
      <c r="B60" s="19">
        <f t="shared" si="0"/>
        <v>39628</v>
      </c>
      <c r="C60" s="86">
        <f t="shared" si="2"/>
        <v>0.25419999999999998</v>
      </c>
      <c r="D60" s="86">
        <f t="shared" si="3"/>
        <v>0.26750000000000002</v>
      </c>
      <c r="E60" s="86">
        <f t="shared" si="6"/>
        <v>6.88E-2</v>
      </c>
      <c r="F60" s="86">
        <f t="shared" si="5"/>
        <v>1.9699999999999999E-2</v>
      </c>
      <c r="G60" s="87">
        <v>0.24</v>
      </c>
      <c r="H60" s="87">
        <v>0.255</v>
      </c>
      <c r="I60" s="87">
        <v>6.8000000000000005E-2</v>
      </c>
      <c r="J60" s="87">
        <v>1.7999999999999999E-2</v>
      </c>
      <c r="K60" s="25">
        <f>((2/3)*L50)+((10/3)*L62)</f>
        <v>11395</v>
      </c>
      <c r="L60" s="95"/>
    </row>
    <row r="61" spans="1:19">
      <c r="A61" s="19">
        <f t="shared" si="1"/>
        <v>39294</v>
      </c>
      <c r="B61" s="19">
        <f t="shared" si="0"/>
        <v>39659</v>
      </c>
      <c r="C61" s="86">
        <f t="shared" si="2"/>
        <v>0.25559999999999999</v>
      </c>
      <c r="D61" s="86">
        <f t="shared" si="3"/>
        <v>0.26879999999999998</v>
      </c>
      <c r="E61" s="86">
        <f t="shared" si="6"/>
        <v>6.8900000000000003E-2</v>
      </c>
      <c r="F61" s="86">
        <f t="shared" si="5"/>
        <v>1.9800000000000002E-2</v>
      </c>
      <c r="G61" s="87">
        <v>0.24</v>
      </c>
      <c r="H61" s="87">
        <v>0.255</v>
      </c>
      <c r="I61" s="87">
        <v>6.8000000000000005E-2</v>
      </c>
      <c r="J61" s="87">
        <v>1.7999999999999999E-2</v>
      </c>
      <c r="K61" s="25">
        <f>((1/3)*L50)+((11/3)*L62)</f>
        <v>11436</v>
      </c>
      <c r="L61" s="95"/>
    </row>
    <row r="62" spans="1:19" s="80" customFormat="1">
      <c r="A62" s="79">
        <f t="shared" si="1"/>
        <v>39325</v>
      </c>
      <c r="B62" s="79">
        <f t="shared" si="0"/>
        <v>39690</v>
      </c>
      <c r="C62" s="88">
        <f t="shared" si="2"/>
        <v>0.25700000000000001</v>
      </c>
      <c r="D62" s="88">
        <f t="shared" si="3"/>
        <v>0.27</v>
      </c>
      <c r="E62" s="88">
        <f t="shared" si="6"/>
        <v>6.9000000000000006E-2</v>
      </c>
      <c r="F62" s="88">
        <f t="shared" si="5"/>
        <v>0.02</v>
      </c>
      <c r="G62" s="91">
        <v>0.25700000000000001</v>
      </c>
      <c r="H62" s="90">
        <v>0.27</v>
      </c>
      <c r="I62" s="91">
        <v>6.9000000000000006E-2</v>
      </c>
      <c r="J62" s="92">
        <v>0.02</v>
      </c>
      <c r="K62" s="78">
        <f>(L62*4)</f>
        <v>11476</v>
      </c>
      <c r="L62" s="98">
        <v>2869</v>
      </c>
      <c r="O62" s="339"/>
      <c r="P62" s="339"/>
      <c r="R62" s="355"/>
      <c r="S62" s="355"/>
    </row>
    <row r="63" spans="1:19" s="80" customFormat="1">
      <c r="A63" s="79">
        <f t="shared" si="1"/>
        <v>39355</v>
      </c>
      <c r="B63" s="79">
        <f t="shared" si="0"/>
        <v>39720</v>
      </c>
      <c r="C63" s="88">
        <f t="shared" si="2"/>
        <v>0.25740000000000002</v>
      </c>
      <c r="D63" s="88">
        <f t="shared" si="3"/>
        <v>0.2702</v>
      </c>
      <c r="E63" s="88">
        <f t="shared" si="6"/>
        <v>6.9000000000000006E-2</v>
      </c>
      <c r="F63" s="88">
        <f t="shared" si="5"/>
        <v>0.02</v>
      </c>
      <c r="G63" s="89">
        <v>0.25700000000000001</v>
      </c>
      <c r="H63" s="93">
        <v>0.27</v>
      </c>
      <c r="I63" s="89">
        <v>6.9000000000000006E-2</v>
      </c>
      <c r="J63" s="94">
        <v>0.02</v>
      </c>
      <c r="K63" s="78">
        <f>((11/3)*L62)+((1/3)*L74)</f>
        <v>11517</v>
      </c>
      <c r="L63" s="96"/>
      <c r="R63" s="355"/>
      <c r="S63" s="355"/>
    </row>
    <row r="64" spans="1:19" s="80" customFormat="1">
      <c r="A64" s="79">
        <f t="shared" si="1"/>
        <v>39386</v>
      </c>
      <c r="B64" s="79">
        <f t="shared" si="0"/>
        <v>39751</v>
      </c>
      <c r="C64" s="88">
        <f t="shared" si="2"/>
        <v>0.25779999999999997</v>
      </c>
      <c r="D64" s="88">
        <f t="shared" si="3"/>
        <v>0.27029999999999998</v>
      </c>
      <c r="E64" s="88">
        <f t="shared" si="6"/>
        <v>6.9000000000000006E-2</v>
      </c>
      <c r="F64" s="88">
        <f t="shared" si="5"/>
        <v>0.02</v>
      </c>
      <c r="G64" s="89">
        <v>0.25700000000000001</v>
      </c>
      <c r="H64" s="93">
        <v>0.27</v>
      </c>
      <c r="I64" s="89">
        <v>6.9000000000000006E-2</v>
      </c>
      <c r="J64" s="94">
        <v>0.02</v>
      </c>
      <c r="K64" s="78">
        <f>((10/3)*L62)+((2/3)*L74)</f>
        <v>11558</v>
      </c>
      <c r="L64" s="96"/>
      <c r="R64" s="355"/>
      <c r="S64" s="355"/>
    </row>
    <row r="65" spans="1:19" s="80" customFormat="1">
      <c r="A65" s="79">
        <f t="shared" si="1"/>
        <v>39416</v>
      </c>
      <c r="B65" s="79">
        <f t="shared" si="0"/>
        <v>39781</v>
      </c>
      <c r="C65" s="88">
        <f t="shared" si="2"/>
        <v>0.25829999999999997</v>
      </c>
      <c r="D65" s="88">
        <f t="shared" si="3"/>
        <v>0.27050000000000002</v>
      </c>
      <c r="E65" s="88">
        <f t="shared" si="6"/>
        <v>6.9000000000000006E-2</v>
      </c>
      <c r="F65" s="88">
        <f t="shared" si="5"/>
        <v>0.02</v>
      </c>
      <c r="G65" s="89">
        <v>0.25700000000000001</v>
      </c>
      <c r="H65" s="93">
        <v>0.27</v>
      </c>
      <c r="I65" s="89">
        <v>6.9000000000000006E-2</v>
      </c>
      <c r="J65" s="94">
        <v>0.02</v>
      </c>
      <c r="K65" s="78">
        <f>((9/3)*L62)+((3/3)*L74)</f>
        <v>11599</v>
      </c>
      <c r="L65" s="96"/>
      <c r="R65" s="355"/>
      <c r="S65" s="355"/>
    </row>
    <row r="66" spans="1:19" s="80" customFormat="1">
      <c r="A66" s="79">
        <f t="shared" si="1"/>
        <v>39447</v>
      </c>
      <c r="B66" s="79">
        <f t="shared" ref="B66:B129" si="7">EDATE(A66,12)-1</f>
        <v>39812</v>
      </c>
      <c r="C66" s="88">
        <f t="shared" si="2"/>
        <v>0.25869999999999999</v>
      </c>
      <c r="D66" s="88">
        <f t="shared" si="3"/>
        <v>0.2707</v>
      </c>
      <c r="E66" s="88">
        <f t="shared" si="6"/>
        <v>6.9000000000000006E-2</v>
      </c>
      <c r="F66" s="88">
        <f t="shared" si="5"/>
        <v>0.02</v>
      </c>
      <c r="G66" s="89">
        <v>0.25700000000000001</v>
      </c>
      <c r="H66" s="93">
        <v>0.27</v>
      </c>
      <c r="I66" s="89">
        <v>6.9000000000000006E-2</v>
      </c>
      <c r="J66" s="94">
        <v>0.02</v>
      </c>
      <c r="K66" s="78">
        <f>((8/3)*L62)+((4/3)*L74)</f>
        <v>11640</v>
      </c>
      <c r="L66" s="96"/>
      <c r="R66" s="355"/>
      <c r="S66" s="355"/>
    </row>
    <row r="67" spans="1:19" s="80" customFormat="1">
      <c r="A67" s="79">
        <f t="shared" ref="A67:A130" si="8">EDATE(A66,1)</f>
        <v>39478</v>
      </c>
      <c r="B67" s="79">
        <f t="shared" si="7"/>
        <v>39843</v>
      </c>
      <c r="C67" s="88">
        <f t="shared" ref="C67:C130" si="9">AVERAGE(G67:G78)</f>
        <v>0.2591</v>
      </c>
      <c r="D67" s="88">
        <f t="shared" ref="D67:D130" si="10">AVERAGE(H67:H78)</f>
        <v>0.27079999999999999</v>
      </c>
      <c r="E67" s="88">
        <f t="shared" si="6"/>
        <v>6.9000000000000006E-2</v>
      </c>
      <c r="F67" s="88">
        <f t="shared" si="5"/>
        <v>0.02</v>
      </c>
      <c r="G67" s="89">
        <v>0.25700000000000001</v>
      </c>
      <c r="H67" s="93">
        <v>0.27</v>
      </c>
      <c r="I67" s="89">
        <v>6.9000000000000006E-2</v>
      </c>
      <c r="J67" s="94">
        <v>0.02</v>
      </c>
      <c r="K67" s="78">
        <f>((7/3)*L62)+((5/3)*L74)</f>
        <v>11681</v>
      </c>
      <c r="L67" s="96"/>
      <c r="R67" s="355"/>
      <c r="S67" s="355"/>
    </row>
    <row r="68" spans="1:19" s="80" customFormat="1">
      <c r="A68" s="79">
        <f t="shared" si="8"/>
        <v>39507</v>
      </c>
      <c r="B68" s="79">
        <f t="shared" si="7"/>
        <v>39871</v>
      </c>
      <c r="C68" s="88">
        <f t="shared" si="9"/>
        <v>0.25950000000000001</v>
      </c>
      <c r="D68" s="88">
        <f t="shared" si="10"/>
        <v>0.27100000000000002</v>
      </c>
      <c r="E68" s="88">
        <f t="shared" si="6"/>
        <v>6.9000000000000006E-2</v>
      </c>
      <c r="F68" s="88">
        <f t="shared" ref="F68:F131" si="11">AVERAGE(J68:J79)</f>
        <v>0.02</v>
      </c>
      <c r="G68" s="89">
        <v>0.25700000000000001</v>
      </c>
      <c r="H68" s="93">
        <v>0.27</v>
      </c>
      <c r="I68" s="89">
        <v>6.9000000000000006E-2</v>
      </c>
      <c r="J68" s="94">
        <v>0.02</v>
      </c>
      <c r="K68" s="78">
        <f>((6/3)*L62)+((6/3)*L74)</f>
        <v>11722</v>
      </c>
      <c r="L68" s="96"/>
      <c r="R68" s="355"/>
      <c r="S68" s="355"/>
    </row>
    <row r="69" spans="1:19" s="80" customFormat="1">
      <c r="A69" s="79">
        <f t="shared" si="8"/>
        <v>39538</v>
      </c>
      <c r="B69" s="79">
        <f t="shared" si="7"/>
        <v>39902</v>
      </c>
      <c r="C69" s="88">
        <f t="shared" si="9"/>
        <v>0.25990000000000002</v>
      </c>
      <c r="D69" s="88">
        <f t="shared" si="10"/>
        <v>0.2712</v>
      </c>
      <c r="E69" s="88">
        <f t="shared" si="6"/>
        <v>6.9000000000000006E-2</v>
      </c>
      <c r="F69" s="88">
        <f t="shared" si="11"/>
        <v>0.02</v>
      </c>
      <c r="G69" s="89">
        <v>0.25700000000000001</v>
      </c>
      <c r="H69" s="93">
        <v>0.27</v>
      </c>
      <c r="I69" s="89">
        <v>6.9000000000000006E-2</v>
      </c>
      <c r="J69" s="94">
        <v>0.02</v>
      </c>
      <c r="K69" s="78">
        <f>((5/3)*L62)+((7/3)*L74)</f>
        <v>11763</v>
      </c>
      <c r="L69" s="96"/>
      <c r="R69" s="355"/>
      <c r="S69" s="355"/>
    </row>
    <row r="70" spans="1:19" s="80" customFormat="1">
      <c r="A70" s="79">
        <f t="shared" si="8"/>
        <v>39568</v>
      </c>
      <c r="B70" s="79">
        <f t="shared" si="7"/>
        <v>39932</v>
      </c>
      <c r="C70" s="88">
        <f t="shared" si="9"/>
        <v>0.26029999999999998</v>
      </c>
      <c r="D70" s="88">
        <f t="shared" si="10"/>
        <v>0.27129999999999999</v>
      </c>
      <c r="E70" s="88">
        <f t="shared" si="6"/>
        <v>6.9000000000000006E-2</v>
      </c>
      <c r="F70" s="88">
        <f t="shared" si="11"/>
        <v>0.02</v>
      </c>
      <c r="G70" s="89">
        <v>0.25700000000000001</v>
      </c>
      <c r="H70" s="93">
        <v>0.27</v>
      </c>
      <c r="I70" s="89">
        <v>6.9000000000000006E-2</v>
      </c>
      <c r="J70" s="94">
        <v>0.02</v>
      </c>
      <c r="K70" s="78">
        <f>((4/3)*L62)+((8/3)*L74)</f>
        <v>11804</v>
      </c>
      <c r="L70" s="96"/>
      <c r="R70" s="355"/>
      <c r="S70" s="355"/>
    </row>
    <row r="71" spans="1:19" s="80" customFormat="1">
      <c r="A71" s="79">
        <f t="shared" si="8"/>
        <v>39599</v>
      </c>
      <c r="B71" s="79">
        <f t="shared" si="7"/>
        <v>39963</v>
      </c>
      <c r="C71" s="88">
        <f t="shared" si="9"/>
        <v>0.26079999999999998</v>
      </c>
      <c r="D71" s="88">
        <f t="shared" si="10"/>
        <v>0.27150000000000002</v>
      </c>
      <c r="E71" s="88">
        <f t="shared" si="6"/>
        <v>6.9000000000000006E-2</v>
      </c>
      <c r="F71" s="88">
        <f t="shared" si="11"/>
        <v>0.02</v>
      </c>
      <c r="G71" s="89">
        <v>0.25700000000000001</v>
      </c>
      <c r="H71" s="93">
        <v>0.27</v>
      </c>
      <c r="I71" s="89">
        <v>6.9000000000000006E-2</v>
      </c>
      <c r="J71" s="94">
        <v>0.02</v>
      </c>
      <c r="K71" s="78">
        <f>((3/3)*L62)+((9/3)*L74)</f>
        <v>11845</v>
      </c>
      <c r="L71" s="96"/>
      <c r="R71" s="355"/>
      <c r="S71" s="355"/>
    </row>
    <row r="72" spans="1:19" s="80" customFormat="1">
      <c r="A72" s="79">
        <f t="shared" si="8"/>
        <v>39629</v>
      </c>
      <c r="B72" s="79">
        <f t="shared" si="7"/>
        <v>39993</v>
      </c>
      <c r="C72" s="88">
        <f t="shared" si="9"/>
        <v>0.26119999999999999</v>
      </c>
      <c r="D72" s="88">
        <f t="shared" si="10"/>
        <v>0.2717</v>
      </c>
      <c r="E72" s="88">
        <f t="shared" si="6"/>
        <v>6.9000000000000006E-2</v>
      </c>
      <c r="F72" s="88">
        <f t="shared" si="11"/>
        <v>0.02</v>
      </c>
      <c r="G72" s="89">
        <v>0.25700000000000001</v>
      </c>
      <c r="H72" s="93">
        <v>0.27</v>
      </c>
      <c r="I72" s="89">
        <v>6.9000000000000006E-2</v>
      </c>
      <c r="J72" s="94">
        <v>0.02</v>
      </c>
      <c r="K72" s="78">
        <f>((2/3)*L62)+((10/3)*L74)</f>
        <v>11886</v>
      </c>
      <c r="L72" s="96"/>
      <c r="R72" s="355"/>
      <c r="S72" s="355"/>
    </row>
    <row r="73" spans="1:19" s="80" customFormat="1">
      <c r="A73" s="79">
        <f t="shared" si="8"/>
        <v>39660</v>
      </c>
      <c r="B73" s="79">
        <f t="shared" si="7"/>
        <v>40024</v>
      </c>
      <c r="C73" s="88">
        <f t="shared" si="9"/>
        <v>0.2616</v>
      </c>
      <c r="D73" s="88">
        <f t="shared" si="10"/>
        <v>0.27179999999999999</v>
      </c>
      <c r="E73" s="88">
        <f t="shared" si="6"/>
        <v>6.9000000000000006E-2</v>
      </c>
      <c r="F73" s="88">
        <f t="shared" si="11"/>
        <v>0.02</v>
      </c>
      <c r="G73" s="340">
        <v>0.25700000000000001</v>
      </c>
      <c r="H73" s="341">
        <v>0.27</v>
      </c>
      <c r="I73" s="340">
        <v>6.9000000000000006E-2</v>
      </c>
      <c r="J73" s="342">
        <v>0.02</v>
      </c>
      <c r="K73" s="78">
        <f>((1/3)*L62)+((11/3)*L74)</f>
        <v>11927</v>
      </c>
      <c r="L73" s="96"/>
      <c r="R73" s="355"/>
      <c r="S73" s="355"/>
    </row>
    <row r="74" spans="1:19">
      <c r="A74" s="19">
        <f t="shared" si="8"/>
        <v>39691</v>
      </c>
      <c r="B74" s="19">
        <f t="shared" si="7"/>
        <v>40055</v>
      </c>
      <c r="C74" s="86">
        <f t="shared" si="9"/>
        <v>0.26200000000000001</v>
      </c>
      <c r="D74" s="86">
        <f t="shared" si="10"/>
        <v>0.27200000000000002</v>
      </c>
      <c r="E74" s="86">
        <f t="shared" si="6"/>
        <v>6.9000000000000006E-2</v>
      </c>
      <c r="F74" s="86">
        <f t="shared" si="11"/>
        <v>0.02</v>
      </c>
      <c r="G74" s="343">
        <v>0.26200000000000001</v>
      </c>
      <c r="H74" s="344">
        <v>0.27200000000000002</v>
      </c>
      <c r="I74" s="343">
        <v>6.9000000000000006E-2</v>
      </c>
      <c r="J74" s="345">
        <v>0.02</v>
      </c>
      <c r="K74" s="25">
        <f>(L74*4)</f>
        <v>11968</v>
      </c>
      <c r="L74" s="99">
        <v>2992</v>
      </c>
    </row>
    <row r="75" spans="1:19">
      <c r="A75" s="19">
        <f t="shared" si="8"/>
        <v>39721</v>
      </c>
      <c r="B75" s="19">
        <f t="shared" si="7"/>
        <v>40085</v>
      </c>
      <c r="C75" s="86">
        <f t="shared" si="9"/>
        <v>0.26269999999999999</v>
      </c>
      <c r="D75" s="86">
        <f t="shared" si="10"/>
        <v>0.27200000000000002</v>
      </c>
      <c r="E75" s="86">
        <f t="shared" si="6"/>
        <v>6.8699999999999997E-2</v>
      </c>
      <c r="F75" s="86">
        <f t="shared" si="11"/>
        <v>0.02</v>
      </c>
      <c r="G75" s="87">
        <v>0.26200000000000001</v>
      </c>
      <c r="H75" s="346">
        <v>0.27200000000000002</v>
      </c>
      <c r="I75" s="87">
        <v>6.9000000000000006E-2</v>
      </c>
      <c r="J75" s="347">
        <v>0.02</v>
      </c>
      <c r="K75" s="25">
        <f>((11/3)*L74)+((1/3)*L86)</f>
        <v>12008</v>
      </c>
      <c r="L75" s="95"/>
    </row>
    <row r="76" spans="1:19">
      <c r="A76" s="19">
        <f t="shared" si="8"/>
        <v>39752</v>
      </c>
      <c r="B76" s="19">
        <f t="shared" si="7"/>
        <v>40116</v>
      </c>
      <c r="C76" s="86">
        <f t="shared" si="9"/>
        <v>0.26329999999999998</v>
      </c>
      <c r="D76" s="86">
        <f t="shared" si="10"/>
        <v>0.27200000000000002</v>
      </c>
      <c r="E76" s="86">
        <f t="shared" si="6"/>
        <v>6.83E-2</v>
      </c>
      <c r="F76" s="86">
        <f t="shared" si="11"/>
        <v>0.02</v>
      </c>
      <c r="G76" s="87">
        <v>0.26200000000000001</v>
      </c>
      <c r="H76" s="346">
        <v>0.27200000000000002</v>
      </c>
      <c r="I76" s="87">
        <v>6.9000000000000006E-2</v>
      </c>
      <c r="J76" s="347">
        <v>0.02</v>
      </c>
      <c r="K76" s="25">
        <f>((10/3)*L74)+((2/3)*L86)</f>
        <v>12049</v>
      </c>
      <c r="L76" s="95"/>
    </row>
    <row r="77" spans="1:19">
      <c r="A77" s="19">
        <f t="shared" si="8"/>
        <v>39782</v>
      </c>
      <c r="B77" s="19">
        <f t="shared" si="7"/>
        <v>40146</v>
      </c>
      <c r="C77" s="86">
        <f t="shared" si="9"/>
        <v>0.26400000000000001</v>
      </c>
      <c r="D77" s="86">
        <f t="shared" si="10"/>
        <v>0.27200000000000002</v>
      </c>
      <c r="E77" s="86">
        <f t="shared" si="6"/>
        <v>6.8000000000000005E-2</v>
      </c>
      <c r="F77" s="86">
        <f t="shared" si="11"/>
        <v>0.02</v>
      </c>
      <c r="G77" s="87">
        <v>0.26200000000000001</v>
      </c>
      <c r="H77" s="346">
        <v>0.27200000000000002</v>
      </c>
      <c r="I77" s="87">
        <v>6.9000000000000006E-2</v>
      </c>
      <c r="J77" s="347">
        <v>0.02</v>
      </c>
      <c r="K77" s="25">
        <f>((9/3)*L74)+((3/3)*L86)</f>
        <v>12089</v>
      </c>
      <c r="L77" s="95"/>
    </row>
    <row r="78" spans="1:19">
      <c r="A78" s="19">
        <f t="shared" si="8"/>
        <v>39813</v>
      </c>
      <c r="B78" s="19">
        <f t="shared" si="7"/>
        <v>40177</v>
      </c>
      <c r="C78" s="86">
        <f t="shared" si="9"/>
        <v>0.26469999999999999</v>
      </c>
      <c r="D78" s="86">
        <f t="shared" si="10"/>
        <v>0.27200000000000002</v>
      </c>
      <c r="E78" s="86">
        <f t="shared" si="6"/>
        <v>6.7699999999999996E-2</v>
      </c>
      <c r="F78" s="86">
        <f t="shared" si="11"/>
        <v>0.02</v>
      </c>
      <c r="G78" s="87">
        <v>0.26200000000000001</v>
      </c>
      <c r="H78" s="346">
        <v>0.27200000000000002</v>
      </c>
      <c r="I78" s="87">
        <v>6.9000000000000006E-2</v>
      </c>
      <c r="J78" s="347">
        <v>0.02</v>
      </c>
      <c r="K78" s="25">
        <f>((8/3)*L74)+((4/3)*L86)</f>
        <v>12129</v>
      </c>
      <c r="L78" s="95"/>
    </row>
    <row r="79" spans="1:19">
      <c r="A79" s="19">
        <f t="shared" si="8"/>
        <v>39844</v>
      </c>
      <c r="B79" s="19">
        <f t="shared" si="7"/>
        <v>40208</v>
      </c>
      <c r="C79" s="86">
        <f t="shared" si="9"/>
        <v>0.26529999999999998</v>
      </c>
      <c r="D79" s="86">
        <f t="shared" si="10"/>
        <v>0.27200000000000002</v>
      </c>
      <c r="E79" s="86">
        <f t="shared" si="6"/>
        <v>6.7299999999999999E-2</v>
      </c>
      <c r="F79" s="86">
        <f t="shared" si="11"/>
        <v>0.02</v>
      </c>
      <c r="G79" s="87">
        <v>0.26200000000000001</v>
      </c>
      <c r="H79" s="346">
        <v>0.27200000000000002</v>
      </c>
      <c r="I79" s="87">
        <v>6.9000000000000006E-2</v>
      </c>
      <c r="J79" s="347">
        <v>0.02</v>
      </c>
      <c r="K79" s="25">
        <f>((7/3)*L74)+((5/3)*L86)</f>
        <v>12170</v>
      </c>
      <c r="L79" s="95"/>
    </row>
    <row r="80" spans="1:19">
      <c r="A80" s="19">
        <f t="shared" si="8"/>
        <v>39872</v>
      </c>
      <c r="B80" s="19">
        <f t="shared" si="7"/>
        <v>40236</v>
      </c>
      <c r="C80" s="86">
        <f t="shared" si="9"/>
        <v>0.26600000000000001</v>
      </c>
      <c r="D80" s="86">
        <f t="shared" si="10"/>
        <v>0.27200000000000002</v>
      </c>
      <c r="E80" s="86">
        <f t="shared" si="6"/>
        <v>6.7000000000000004E-2</v>
      </c>
      <c r="F80" s="86">
        <f t="shared" si="11"/>
        <v>0.02</v>
      </c>
      <c r="G80" s="87">
        <v>0.26200000000000001</v>
      </c>
      <c r="H80" s="346">
        <v>0.27200000000000002</v>
      </c>
      <c r="I80" s="87">
        <v>6.9000000000000006E-2</v>
      </c>
      <c r="J80" s="347">
        <v>0.02</v>
      </c>
      <c r="K80" s="25">
        <f>((6/3)*L74)+((6/3)*L86)</f>
        <v>12210</v>
      </c>
      <c r="L80" s="95"/>
    </row>
    <row r="81" spans="1:19">
      <c r="A81" s="19">
        <f t="shared" si="8"/>
        <v>39903</v>
      </c>
      <c r="B81" s="19">
        <f t="shared" si="7"/>
        <v>40267</v>
      </c>
      <c r="C81" s="86">
        <f t="shared" si="9"/>
        <v>0.26669999999999999</v>
      </c>
      <c r="D81" s="86">
        <f t="shared" si="10"/>
        <v>0.27200000000000002</v>
      </c>
      <c r="E81" s="86">
        <f t="shared" si="6"/>
        <v>6.6699999999999995E-2</v>
      </c>
      <c r="F81" s="86">
        <f t="shared" si="11"/>
        <v>0.02</v>
      </c>
      <c r="G81" s="87">
        <v>0.26200000000000001</v>
      </c>
      <c r="H81" s="346">
        <v>0.27200000000000002</v>
      </c>
      <c r="I81" s="87">
        <v>6.9000000000000006E-2</v>
      </c>
      <c r="J81" s="347">
        <v>0.02</v>
      </c>
      <c r="K81" s="25">
        <f>((5/3)*L74)+((7/3)*L86)</f>
        <v>12250</v>
      </c>
      <c r="L81" s="95"/>
    </row>
    <row r="82" spans="1:19">
      <c r="A82" s="19">
        <f t="shared" si="8"/>
        <v>39933</v>
      </c>
      <c r="B82" s="19">
        <f t="shared" si="7"/>
        <v>40297</v>
      </c>
      <c r="C82" s="86">
        <f t="shared" si="9"/>
        <v>0.26729999999999998</v>
      </c>
      <c r="D82" s="86">
        <f t="shared" si="10"/>
        <v>0.27200000000000002</v>
      </c>
      <c r="E82" s="86">
        <f t="shared" si="6"/>
        <v>6.6299999999999998E-2</v>
      </c>
      <c r="F82" s="86">
        <f t="shared" si="11"/>
        <v>0.02</v>
      </c>
      <c r="G82" s="87">
        <v>0.26200000000000001</v>
      </c>
      <c r="H82" s="346">
        <v>0.27200000000000002</v>
      </c>
      <c r="I82" s="87">
        <v>6.9000000000000006E-2</v>
      </c>
      <c r="J82" s="347">
        <v>0.02</v>
      </c>
      <c r="K82" s="25">
        <f>((4/3)*L74)+((8/3)*L86)</f>
        <v>12291</v>
      </c>
      <c r="L82" s="95"/>
    </row>
    <row r="83" spans="1:19">
      <c r="A83" s="19">
        <f t="shared" si="8"/>
        <v>39964</v>
      </c>
      <c r="B83" s="19">
        <f t="shared" si="7"/>
        <v>40328</v>
      </c>
      <c r="C83" s="86">
        <f t="shared" si="9"/>
        <v>0.26800000000000002</v>
      </c>
      <c r="D83" s="86">
        <f t="shared" si="10"/>
        <v>0.27200000000000002</v>
      </c>
      <c r="E83" s="86">
        <f t="shared" ref="E83:E146" si="12">AVERAGE(I83:I94)</f>
        <v>6.6000000000000003E-2</v>
      </c>
      <c r="F83" s="86">
        <f t="shared" si="11"/>
        <v>0.02</v>
      </c>
      <c r="G83" s="87">
        <v>0.26200000000000001</v>
      </c>
      <c r="H83" s="346">
        <v>0.27200000000000002</v>
      </c>
      <c r="I83" s="87">
        <v>6.9000000000000006E-2</v>
      </c>
      <c r="J83" s="347">
        <v>0.02</v>
      </c>
      <c r="K83" s="25">
        <f>((3/3)*L74)+((9/3)*L86)</f>
        <v>12331</v>
      </c>
      <c r="L83" s="95"/>
    </row>
    <row r="84" spans="1:19">
      <c r="A84" s="19">
        <f t="shared" si="8"/>
        <v>39994</v>
      </c>
      <c r="B84" s="19">
        <f t="shared" si="7"/>
        <v>40358</v>
      </c>
      <c r="C84" s="86">
        <f t="shared" si="9"/>
        <v>0.26869999999999999</v>
      </c>
      <c r="D84" s="86">
        <f t="shared" si="10"/>
        <v>0.27200000000000002</v>
      </c>
      <c r="E84" s="86">
        <f t="shared" si="12"/>
        <v>6.5699999999999995E-2</v>
      </c>
      <c r="F84" s="86">
        <f t="shared" si="11"/>
        <v>0.02</v>
      </c>
      <c r="G84" s="87">
        <v>0.26200000000000001</v>
      </c>
      <c r="H84" s="346">
        <v>0.27200000000000002</v>
      </c>
      <c r="I84" s="87">
        <v>6.9000000000000006E-2</v>
      </c>
      <c r="J84" s="347">
        <v>0.02</v>
      </c>
      <c r="K84" s="25">
        <f>((2/3)*L74)+((10/3)*L86)</f>
        <v>12371</v>
      </c>
      <c r="L84" s="95"/>
    </row>
    <row r="85" spans="1:19">
      <c r="A85" s="19">
        <f t="shared" si="8"/>
        <v>40025</v>
      </c>
      <c r="B85" s="19">
        <f t="shared" si="7"/>
        <v>40389</v>
      </c>
      <c r="C85" s="86">
        <f t="shared" si="9"/>
        <v>0.26929999999999998</v>
      </c>
      <c r="D85" s="86">
        <f t="shared" si="10"/>
        <v>0.27200000000000002</v>
      </c>
      <c r="E85" s="86">
        <f t="shared" si="12"/>
        <v>6.5299999999999997E-2</v>
      </c>
      <c r="F85" s="86">
        <f t="shared" si="11"/>
        <v>0.02</v>
      </c>
      <c r="G85" s="348">
        <v>0.26200000000000001</v>
      </c>
      <c r="H85" s="349">
        <v>0.27200000000000002</v>
      </c>
      <c r="I85" s="348">
        <v>6.9000000000000006E-2</v>
      </c>
      <c r="J85" s="350">
        <v>0.02</v>
      </c>
      <c r="K85" s="25">
        <f>((1/3)*L74)+((11/3)*L86)</f>
        <v>12412</v>
      </c>
      <c r="L85" s="95"/>
    </row>
    <row r="86" spans="1:19" s="80" customFormat="1">
      <c r="A86" s="79">
        <f t="shared" si="8"/>
        <v>40056</v>
      </c>
      <c r="B86" s="79">
        <f t="shared" si="7"/>
        <v>40420</v>
      </c>
      <c r="C86" s="88">
        <f t="shared" si="9"/>
        <v>0.27</v>
      </c>
      <c r="D86" s="88">
        <f t="shared" si="10"/>
        <v>0.27200000000000002</v>
      </c>
      <c r="E86" s="88">
        <f t="shared" si="12"/>
        <v>6.5000000000000002E-2</v>
      </c>
      <c r="F86" s="88">
        <f t="shared" si="11"/>
        <v>0.02</v>
      </c>
      <c r="G86" s="89">
        <v>0.27</v>
      </c>
      <c r="H86" s="351">
        <v>0.27200000000000002</v>
      </c>
      <c r="I86" s="89">
        <v>6.5000000000000002E-2</v>
      </c>
      <c r="J86" s="352">
        <v>0.02</v>
      </c>
      <c r="K86" s="78">
        <f>(L86*4)</f>
        <v>12452</v>
      </c>
      <c r="L86" s="98">
        <v>3113</v>
      </c>
      <c r="R86" s="355"/>
      <c r="S86" s="355"/>
    </row>
    <row r="87" spans="1:19" s="80" customFormat="1">
      <c r="A87" s="79">
        <f t="shared" si="8"/>
        <v>40086</v>
      </c>
      <c r="B87" s="79">
        <f t="shared" si="7"/>
        <v>40450</v>
      </c>
      <c r="C87" s="88">
        <f t="shared" si="9"/>
        <v>0.2707</v>
      </c>
      <c r="D87" s="88">
        <f t="shared" si="10"/>
        <v>0.27200000000000002</v>
      </c>
      <c r="E87" s="88">
        <f t="shared" si="12"/>
        <v>6.4699999999999994E-2</v>
      </c>
      <c r="F87" s="88">
        <f t="shared" si="11"/>
        <v>2.0299999999999999E-2</v>
      </c>
      <c r="G87" s="89">
        <v>0.27</v>
      </c>
      <c r="H87" s="351">
        <v>0.27200000000000002</v>
      </c>
      <c r="I87" s="89">
        <v>6.5000000000000002E-2</v>
      </c>
      <c r="J87" s="352">
        <v>0.02</v>
      </c>
      <c r="K87" s="78">
        <f>((11/3)*L86)+((1/3)*L98)</f>
        <v>12491</v>
      </c>
      <c r="L87" s="96"/>
      <c r="R87" s="355"/>
      <c r="S87" s="355"/>
    </row>
    <row r="88" spans="1:19" s="80" customFormat="1">
      <c r="A88" s="79">
        <f t="shared" si="8"/>
        <v>40117</v>
      </c>
      <c r="B88" s="79">
        <f t="shared" si="7"/>
        <v>40481</v>
      </c>
      <c r="C88" s="88">
        <f t="shared" si="9"/>
        <v>0.27129999999999999</v>
      </c>
      <c r="D88" s="88">
        <f t="shared" si="10"/>
        <v>0.27200000000000002</v>
      </c>
      <c r="E88" s="88">
        <f t="shared" si="12"/>
        <v>6.4299999999999996E-2</v>
      </c>
      <c r="F88" s="88">
        <f t="shared" si="11"/>
        <v>2.0500000000000001E-2</v>
      </c>
      <c r="G88" s="89">
        <v>0.27</v>
      </c>
      <c r="H88" s="351">
        <v>0.27200000000000002</v>
      </c>
      <c r="I88" s="89">
        <v>6.5000000000000002E-2</v>
      </c>
      <c r="J88" s="352">
        <v>0.02</v>
      </c>
      <c r="K88" s="78">
        <f>((10/3)*L86)+((2/3)*L98)</f>
        <v>12531</v>
      </c>
      <c r="L88" s="96"/>
      <c r="R88" s="355"/>
      <c r="S88" s="355"/>
    </row>
    <row r="89" spans="1:19" s="80" customFormat="1">
      <c r="A89" s="79">
        <f t="shared" si="8"/>
        <v>40147</v>
      </c>
      <c r="B89" s="79">
        <f t="shared" si="7"/>
        <v>40511</v>
      </c>
      <c r="C89" s="88">
        <f t="shared" si="9"/>
        <v>0.27200000000000002</v>
      </c>
      <c r="D89" s="88">
        <f t="shared" si="10"/>
        <v>0.27200000000000002</v>
      </c>
      <c r="E89" s="88">
        <f t="shared" si="12"/>
        <v>6.4000000000000001E-2</v>
      </c>
      <c r="F89" s="88">
        <f t="shared" si="11"/>
        <v>2.0799999999999999E-2</v>
      </c>
      <c r="G89" s="89">
        <v>0.27</v>
      </c>
      <c r="H89" s="351">
        <v>0.27200000000000002</v>
      </c>
      <c r="I89" s="89">
        <v>6.5000000000000002E-2</v>
      </c>
      <c r="J89" s="352">
        <v>0.02</v>
      </c>
      <c r="K89" s="78">
        <f>((9/3)*L86)+((3/3)*L98)</f>
        <v>12570</v>
      </c>
      <c r="L89" s="96"/>
      <c r="R89" s="355"/>
      <c r="S89" s="355"/>
    </row>
    <row r="90" spans="1:19" s="80" customFormat="1">
      <c r="A90" s="79">
        <f t="shared" si="8"/>
        <v>40178</v>
      </c>
      <c r="B90" s="79">
        <f t="shared" si="7"/>
        <v>40542</v>
      </c>
      <c r="C90" s="88">
        <f t="shared" si="9"/>
        <v>0.2727</v>
      </c>
      <c r="D90" s="88">
        <f t="shared" si="10"/>
        <v>0.27200000000000002</v>
      </c>
      <c r="E90" s="88">
        <f t="shared" si="12"/>
        <v>6.3700000000000007E-2</v>
      </c>
      <c r="F90" s="88">
        <f t="shared" si="11"/>
        <v>2.1000000000000001E-2</v>
      </c>
      <c r="G90" s="89">
        <v>0.27</v>
      </c>
      <c r="H90" s="351">
        <v>0.27200000000000002</v>
      </c>
      <c r="I90" s="89">
        <v>6.5000000000000002E-2</v>
      </c>
      <c r="J90" s="352">
        <v>0.02</v>
      </c>
      <c r="K90" s="78">
        <f>((8/3)*L86)+((4/3)*L98)</f>
        <v>12609</v>
      </c>
      <c r="L90" s="96"/>
      <c r="R90" s="355"/>
      <c r="S90" s="355"/>
    </row>
    <row r="91" spans="1:19" s="80" customFormat="1">
      <c r="A91" s="79">
        <f t="shared" si="8"/>
        <v>40209</v>
      </c>
      <c r="B91" s="79">
        <f t="shared" si="7"/>
        <v>40573</v>
      </c>
      <c r="C91" s="88">
        <f t="shared" si="9"/>
        <v>0.27329999999999999</v>
      </c>
      <c r="D91" s="88">
        <f t="shared" si="10"/>
        <v>0.27200000000000002</v>
      </c>
      <c r="E91" s="88">
        <f t="shared" si="12"/>
        <v>6.3299999999999995E-2</v>
      </c>
      <c r="F91" s="88">
        <f t="shared" si="11"/>
        <v>2.1299999999999999E-2</v>
      </c>
      <c r="G91" s="89">
        <v>0.27</v>
      </c>
      <c r="H91" s="351">
        <v>0.27200000000000002</v>
      </c>
      <c r="I91" s="89">
        <v>6.5000000000000002E-2</v>
      </c>
      <c r="J91" s="352">
        <v>0.02</v>
      </c>
      <c r="K91" s="78">
        <f>((7/3)*L86)+((5/3)*L98)</f>
        <v>12649</v>
      </c>
      <c r="L91" s="96"/>
      <c r="R91" s="355"/>
      <c r="S91" s="355"/>
    </row>
    <row r="92" spans="1:19" s="80" customFormat="1">
      <c r="A92" s="79">
        <f t="shared" si="8"/>
        <v>40237</v>
      </c>
      <c r="B92" s="79">
        <f t="shared" si="7"/>
        <v>40601</v>
      </c>
      <c r="C92" s="88">
        <f t="shared" si="9"/>
        <v>0.27400000000000002</v>
      </c>
      <c r="D92" s="88">
        <f t="shared" si="10"/>
        <v>0.27200000000000002</v>
      </c>
      <c r="E92" s="88">
        <f t="shared" si="12"/>
        <v>6.3E-2</v>
      </c>
      <c r="F92" s="88">
        <f t="shared" si="11"/>
        <v>2.1499999999999998E-2</v>
      </c>
      <c r="G92" s="89">
        <v>0.27</v>
      </c>
      <c r="H92" s="351">
        <v>0.27200000000000002</v>
      </c>
      <c r="I92" s="89">
        <v>6.5000000000000002E-2</v>
      </c>
      <c r="J92" s="352">
        <v>0.02</v>
      </c>
      <c r="K92" s="78">
        <f>((6/3)*L86)+((6/3)*L98)</f>
        <v>12688</v>
      </c>
      <c r="L92" s="96"/>
      <c r="R92" s="355"/>
      <c r="S92" s="355"/>
    </row>
    <row r="93" spans="1:19" s="80" customFormat="1">
      <c r="A93" s="79">
        <f t="shared" si="8"/>
        <v>40268</v>
      </c>
      <c r="B93" s="79">
        <f t="shared" si="7"/>
        <v>40632</v>
      </c>
      <c r="C93" s="88">
        <f t="shared" si="9"/>
        <v>0.2747</v>
      </c>
      <c r="D93" s="88">
        <f t="shared" si="10"/>
        <v>0.27200000000000002</v>
      </c>
      <c r="E93" s="88">
        <f t="shared" si="12"/>
        <v>6.2700000000000006E-2</v>
      </c>
      <c r="F93" s="88">
        <f t="shared" si="11"/>
        <v>2.18E-2</v>
      </c>
      <c r="G93" s="89">
        <v>0.27</v>
      </c>
      <c r="H93" s="351">
        <v>0.27200000000000002</v>
      </c>
      <c r="I93" s="89">
        <v>6.5000000000000002E-2</v>
      </c>
      <c r="J93" s="352">
        <v>0.02</v>
      </c>
      <c r="K93" s="78">
        <f>((5/3)*L86)+((7/3)*L98)</f>
        <v>12727</v>
      </c>
      <c r="L93" s="96"/>
      <c r="R93" s="355"/>
      <c r="S93" s="355"/>
    </row>
    <row r="94" spans="1:19" s="80" customFormat="1">
      <c r="A94" s="79">
        <f t="shared" si="8"/>
        <v>40298</v>
      </c>
      <c r="B94" s="79">
        <f t="shared" si="7"/>
        <v>40662</v>
      </c>
      <c r="C94" s="88">
        <f t="shared" si="9"/>
        <v>0.27529999999999999</v>
      </c>
      <c r="D94" s="88">
        <f t="shared" si="10"/>
        <v>0.27200000000000002</v>
      </c>
      <c r="E94" s="88">
        <f t="shared" si="12"/>
        <v>6.2300000000000001E-2</v>
      </c>
      <c r="F94" s="88">
        <f t="shared" si="11"/>
        <v>2.1999999999999999E-2</v>
      </c>
      <c r="G94" s="89">
        <v>0.27</v>
      </c>
      <c r="H94" s="351">
        <v>0.27200000000000002</v>
      </c>
      <c r="I94" s="89">
        <v>6.5000000000000002E-2</v>
      </c>
      <c r="J94" s="352">
        <v>0.02</v>
      </c>
      <c r="K94" s="78">
        <f>((4/3)*L86)+((8/3)*L98)</f>
        <v>12767</v>
      </c>
      <c r="L94" s="96"/>
      <c r="R94" s="355"/>
      <c r="S94" s="355"/>
    </row>
    <row r="95" spans="1:19" s="80" customFormat="1">
      <c r="A95" s="79">
        <f t="shared" si="8"/>
        <v>40329</v>
      </c>
      <c r="B95" s="79">
        <f t="shared" si="7"/>
        <v>40693</v>
      </c>
      <c r="C95" s="88">
        <f t="shared" si="9"/>
        <v>0.27600000000000002</v>
      </c>
      <c r="D95" s="88">
        <f t="shared" si="10"/>
        <v>0.27200000000000002</v>
      </c>
      <c r="E95" s="88">
        <f t="shared" si="12"/>
        <v>6.2E-2</v>
      </c>
      <c r="F95" s="88">
        <f t="shared" si="11"/>
        <v>2.23E-2</v>
      </c>
      <c r="G95" s="89">
        <v>0.27</v>
      </c>
      <c r="H95" s="351">
        <v>0.27200000000000002</v>
      </c>
      <c r="I95" s="89">
        <v>6.5000000000000002E-2</v>
      </c>
      <c r="J95" s="352">
        <v>0.02</v>
      </c>
      <c r="K95" s="78">
        <f>((3/3)*L86)+((9/3)*L98)</f>
        <v>12806</v>
      </c>
      <c r="L95" s="96"/>
      <c r="R95" s="355"/>
      <c r="S95" s="355"/>
    </row>
    <row r="96" spans="1:19" s="80" customFormat="1">
      <c r="A96" s="79">
        <f t="shared" si="8"/>
        <v>40359</v>
      </c>
      <c r="B96" s="79">
        <f t="shared" si="7"/>
        <v>40723</v>
      </c>
      <c r="C96" s="88">
        <f t="shared" si="9"/>
        <v>0.2767</v>
      </c>
      <c r="D96" s="88">
        <f t="shared" si="10"/>
        <v>0.27200000000000002</v>
      </c>
      <c r="E96" s="88">
        <f t="shared" si="12"/>
        <v>6.1699999999999998E-2</v>
      </c>
      <c r="F96" s="88">
        <f t="shared" si="11"/>
        <v>2.2499999999999999E-2</v>
      </c>
      <c r="G96" s="89">
        <v>0.27</v>
      </c>
      <c r="H96" s="351">
        <v>0.27200000000000002</v>
      </c>
      <c r="I96" s="89">
        <v>6.5000000000000002E-2</v>
      </c>
      <c r="J96" s="352">
        <v>0.02</v>
      </c>
      <c r="K96" s="78">
        <f>((2/3)*L86)+((10/3)*L98)</f>
        <v>12845</v>
      </c>
      <c r="L96" s="96"/>
      <c r="R96" s="355"/>
      <c r="S96" s="355"/>
    </row>
    <row r="97" spans="1:19" s="80" customFormat="1">
      <c r="A97" s="79">
        <f t="shared" si="8"/>
        <v>40390</v>
      </c>
      <c r="B97" s="79">
        <f t="shared" si="7"/>
        <v>40754</v>
      </c>
      <c r="C97" s="88">
        <f t="shared" si="9"/>
        <v>0.27729999999999999</v>
      </c>
      <c r="D97" s="88">
        <f t="shared" si="10"/>
        <v>0.27200000000000002</v>
      </c>
      <c r="E97" s="88">
        <f t="shared" si="12"/>
        <v>6.13E-2</v>
      </c>
      <c r="F97" s="88">
        <f t="shared" si="11"/>
        <v>2.2800000000000001E-2</v>
      </c>
      <c r="G97" s="89">
        <v>0.27</v>
      </c>
      <c r="H97" s="351">
        <v>0.27200000000000002</v>
      </c>
      <c r="I97" s="89">
        <v>6.5000000000000002E-2</v>
      </c>
      <c r="J97" s="352">
        <v>0.02</v>
      </c>
      <c r="K97" s="78">
        <f>((1/3)*L86)+((11/3)*L98)</f>
        <v>12885</v>
      </c>
      <c r="L97" s="96"/>
      <c r="R97" s="355"/>
      <c r="S97" s="355"/>
    </row>
    <row r="98" spans="1:19">
      <c r="A98" s="19">
        <f t="shared" si="8"/>
        <v>40421</v>
      </c>
      <c r="B98" s="19">
        <f t="shared" si="7"/>
        <v>40785</v>
      </c>
      <c r="C98" s="86">
        <f t="shared" si="9"/>
        <v>0.27800000000000002</v>
      </c>
      <c r="D98" s="86">
        <f t="shared" si="10"/>
        <v>0.27200000000000002</v>
      </c>
      <c r="E98" s="86">
        <f t="shared" si="12"/>
        <v>6.0999999999999999E-2</v>
      </c>
      <c r="F98" s="86">
        <f t="shared" si="11"/>
        <v>2.3E-2</v>
      </c>
      <c r="G98" s="87">
        <v>0.27800000000000002</v>
      </c>
      <c r="H98" s="353">
        <v>0.27200000000000002</v>
      </c>
      <c r="I98" s="87">
        <v>6.0999999999999999E-2</v>
      </c>
      <c r="J98" s="354">
        <v>2.3E-2</v>
      </c>
      <c r="K98" s="25">
        <f>(L98*4)</f>
        <v>12924</v>
      </c>
      <c r="L98" s="99">
        <v>3231</v>
      </c>
      <c r="M98" s="82"/>
      <c r="N98" s="82"/>
      <c r="O98" s="82"/>
      <c r="P98" s="82"/>
    </row>
    <row r="99" spans="1:19">
      <c r="A99" s="19">
        <f t="shared" si="8"/>
        <v>40451</v>
      </c>
      <c r="B99" s="19">
        <f t="shared" si="7"/>
        <v>40815</v>
      </c>
      <c r="C99" s="86">
        <f t="shared" si="9"/>
        <v>0.27539999999999998</v>
      </c>
      <c r="D99" s="86">
        <f t="shared" si="10"/>
        <v>0.27200000000000002</v>
      </c>
      <c r="E99" s="86">
        <f t="shared" si="12"/>
        <v>6.0999999999999999E-2</v>
      </c>
      <c r="F99" s="86">
        <f t="shared" si="11"/>
        <v>2.3E-2</v>
      </c>
      <c r="G99" s="87">
        <v>0.27800000000000002</v>
      </c>
      <c r="H99" s="353">
        <v>0.27200000000000002</v>
      </c>
      <c r="I99" s="87">
        <v>6.0999999999999999E-2</v>
      </c>
      <c r="J99" s="354">
        <v>2.3E-2</v>
      </c>
      <c r="K99" s="25">
        <f>((11/3)*L98)+((1/3)*L110)</f>
        <v>12965</v>
      </c>
      <c r="L99" s="95"/>
      <c r="M99" s="82"/>
      <c r="N99" s="82"/>
      <c r="O99" s="82"/>
      <c r="P99" s="82"/>
    </row>
    <row r="100" spans="1:19">
      <c r="A100" s="19">
        <f t="shared" si="8"/>
        <v>40482</v>
      </c>
      <c r="B100" s="19">
        <f t="shared" si="7"/>
        <v>40846</v>
      </c>
      <c r="C100" s="86">
        <f t="shared" si="9"/>
        <v>0.27279999999999999</v>
      </c>
      <c r="D100" s="86">
        <f t="shared" si="10"/>
        <v>0.27200000000000002</v>
      </c>
      <c r="E100" s="86">
        <f t="shared" si="12"/>
        <v>6.0999999999999999E-2</v>
      </c>
      <c r="F100" s="86">
        <f t="shared" si="11"/>
        <v>2.3E-2</v>
      </c>
      <c r="G100" s="87">
        <v>0.27800000000000002</v>
      </c>
      <c r="H100" s="353">
        <v>0.27200000000000002</v>
      </c>
      <c r="I100" s="87">
        <v>6.0999999999999999E-2</v>
      </c>
      <c r="J100" s="354">
        <v>2.3E-2</v>
      </c>
      <c r="K100" s="25">
        <f>((10/3)*L98)+((2/3)*L110)</f>
        <v>13006</v>
      </c>
      <c r="L100" s="95"/>
      <c r="M100" s="82"/>
      <c r="N100" s="82"/>
      <c r="O100" s="82"/>
      <c r="P100" s="82"/>
    </row>
    <row r="101" spans="1:19">
      <c r="A101" s="19">
        <f t="shared" si="8"/>
        <v>40512</v>
      </c>
      <c r="B101" s="19">
        <f t="shared" si="7"/>
        <v>40876</v>
      </c>
      <c r="C101" s="86">
        <f t="shared" si="9"/>
        <v>0.27029999999999998</v>
      </c>
      <c r="D101" s="86">
        <f t="shared" si="10"/>
        <v>0.27200000000000002</v>
      </c>
      <c r="E101" s="86">
        <f t="shared" si="12"/>
        <v>6.0999999999999999E-2</v>
      </c>
      <c r="F101" s="86">
        <f t="shared" si="11"/>
        <v>2.3E-2</v>
      </c>
      <c r="G101" s="87">
        <v>0.27800000000000002</v>
      </c>
      <c r="H101" s="353">
        <v>0.27200000000000002</v>
      </c>
      <c r="I101" s="87">
        <v>6.0999999999999999E-2</v>
      </c>
      <c r="J101" s="354">
        <v>2.3E-2</v>
      </c>
      <c r="K101" s="25">
        <f>((9/3)*L98)+((3/3)*L110)</f>
        <v>13047</v>
      </c>
      <c r="L101" s="95"/>
      <c r="M101" s="82"/>
      <c r="N101" s="82"/>
      <c r="O101" s="82"/>
      <c r="P101" s="82"/>
    </row>
    <row r="102" spans="1:19">
      <c r="A102" s="19">
        <f t="shared" si="8"/>
        <v>40543</v>
      </c>
      <c r="B102" s="19">
        <f t="shared" si="7"/>
        <v>40907</v>
      </c>
      <c r="C102" s="86">
        <f t="shared" si="9"/>
        <v>0.26769999999999999</v>
      </c>
      <c r="D102" s="86">
        <f t="shared" si="10"/>
        <v>0.27200000000000002</v>
      </c>
      <c r="E102" s="86">
        <f t="shared" si="12"/>
        <v>6.0999999999999999E-2</v>
      </c>
      <c r="F102" s="86">
        <f t="shared" si="11"/>
        <v>2.3E-2</v>
      </c>
      <c r="G102" s="87">
        <v>0.27800000000000002</v>
      </c>
      <c r="H102" s="353">
        <v>0.27200000000000002</v>
      </c>
      <c r="I102" s="87">
        <v>6.0999999999999999E-2</v>
      </c>
      <c r="J102" s="354">
        <v>2.3E-2</v>
      </c>
      <c r="K102" s="25">
        <f>((8/3)*L98)+((4/3)*L110)</f>
        <v>13088</v>
      </c>
      <c r="L102" s="95"/>
      <c r="M102" s="82"/>
      <c r="N102" s="82"/>
      <c r="O102" s="82"/>
      <c r="P102" s="82"/>
    </row>
    <row r="103" spans="1:19">
      <c r="A103" s="19">
        <f t="shared" si="8"/>
        <v>40574</v>
      </c>
      <c r="B103" s="19">
        <f t="shared" si="7"/>
        <v>40938</v>
      </c>
      <c r="C103" s="86">
        <f t="shared" si="9"/>
        <v>0.2651</v>
      </c>
      <c r="D103" s="86">
        <f t="shared" si="10"/>
        <v>0.27200000000000002</v>
      </c>
      <c r="E103" s="86">
        <f t="shared" si="12"/>
        <v>6.0999999999999999E-2</v>
      </c>
      <c r="F103" s="86">
        <f t="shared" si="11"/>
        <v>2.3E-2</v>
      </c>
      <c r="G103" s="87">
        <v>0.27800000000000002</v>
      </c>
      <c r="H103" s="353">
        <v>0.27200000000000002</v>
      </c>
      <c r="I103" s="87">
        <v>6.0999999999999999E-2</v>
      </c>
      <c r="J103" s="354">
        <v>2.3E-2</v>
      </c>
      <c r="K103" s="25">
        <f>((7/3)*L98)+((5/3)*L110)</f>
        <v>13129</v>
      </c>
      <c r="L103" s="95"/>
      <c r="M103" s="82"/>
      <c r="N103" s="82"/>
      <c r="O103" s="82"/>
      <c r="P103" s="82"/>
    </row>
    <row r="104" spans="1:19">
      <c r="A104" s="19">
        <f t="shared" si="8"/>
        <v>40602</v>
      </c>
      <c r="B104" s="19">
        <f t="shared" si="7"/>
        <v>40967</v>
      </c>
      <c r="C104" s="86">
        <f t="shared" si="9"/>
        <v>0.26250000000000001</v>
      </c>
      <c r="D104" s="86">
        <f t="shared" si="10"/>
        <v>0.27200000000000002</v>
      </c>
      <c r="E104" s="86">
        <f t="shared" si="12"/>
        <v>6.0999999999999999E-2</v>
      </c>
      <c r="F104" s="86">
        <f t="shared" si="11"/>
        <v>2.3E-2</v>
      </c>
      <c r="G104" s="87">
        <v>0.27800000000000002</v>
      </c>
      <c r="H104" s="353">
        <v>0.27200000000000002</v>
      </c>
      <c r="I104" s="87">
        <v>6.0999999999999999E-2</v>
      </c>
      <c r="J104" s="354">
        <v>2.3E-2</v>
      </c>
      <c r="K104" s="25">
        <f>((6/3)*L98)+((6/3)*L110)</f>
        <v>13170</v>
      </c>
      <c r="L104" s="95"/>
      <c r="M104" s="82"/>
      <c r="N104" s="82"/>
      <c r="O104" s="82"/>
      <c r="P104" s="82"/>
    </row>
    <row r="105" spans="1:19">
      <c r="A105" s="19">
        <f t="shared" si="8"/>
        <v>40633</v>
      </c>
      <c r="B105" s="19">
        <f t="shared" si="7"/>
        <v>40998</v>
      </c>
      <c r="C105" s="86">
        <f t="shared" si="9"/>
        <v>0.25990000000000002</v>
      </c>
      <c r="D105" s="86">
        <f t="shared" si="10"/>
        <v>0.27200000000000002</v>
      </c>
      <c r="E105" s="86">
        <f t="shared" si="12"/>
        <v>6.0999999999999999E-2</v>
      </c>
      <c r="F105" s="86">
        <f t="shared" si="11"/>
        <v>2.3E-2</v>
      </c>
      <c r="G105" s="87">
        <v>0.27800000000000002</v>
      </c>
      <c r="H105" s="353">
        <v>0.27200000000000002</v>
      </c>
      <c r="I105" s="87">
        <v>6.0999999999999999E-2</v>
      </c>
      <c r="J105" s="354">
        <v>2.3E-2</v>
      </c>
      <c r="K105" s="25">
        <f>((5/3)*L98)+((7/3)*L110)</f>
        <v>13211</v>
      </c>
      <c r="L105" s="95"/>
      <c r="M105" s="82"/>
      <c r="N105" s="82"/>
      <c r="O105" s="82"/>
      <c r="P105" s="82"/>
    </row>
    <row r="106" spans="1:19">
      <c r="A106" s="19">
        <f t="shared" si="8"/>
        <v>40663</v>
      </c>
      <c r="B106" s="19">
        <f t="shared" si="7"/>
        <v>41028</v>
      </c>
      <c r="C106" s="86">
        <f t="shared" si="9"/>
        <v>0.25729999999999997</v>
      </c>
      <c r="D106" s="86">
        <f t="shared" si="10"/>
        <v>0.27200000000000002</v>
      </c>
      <c r="E106" s="86">
        <f t="shared" si="12"/>
        <v>6.0999999999999999E-2</v>
      </c>
      <c r="F106" s="86">
        <f t="shared" si="11"/>
        <v>2.3E-2</v>
      </c>
      <c r="G106" s="87">
        <v>0.27800000000000002</v>
      </c>
      <c r="H106" s="353">
        <v>0.27200000000000002</v>
      </c>
      <c r="I106" s="87">
        <v>6.0999999999999999E-2</v>
      </c>
      <c r="J106" s="354">
        <v>2.3E-2</v>
      </c>
      <c r="K106" s="25">
        <f>((4/3)*L98)+((8/3)*L110)</f>
        <v>13252</v>
      </c>
      <c r="L106" s="95"/>
      <c r="M106" s="82"/>
      <c r="N106" s="82"/>
      <c r="O106" s="82"/>
      <c r="P106" s="82"/>
    </row>
    <row r="107" spans="1:19">
      <c r="A107" s="19">
        <f t="shared" si="8"/>
        <v>40694</v>
      </c>
      <c r="B107" s="19">
        <f t="shared" si="7"/>
        <v>41059</v>
      </c>
      <c r="C107" s="86">
        <f t="shared" si="9"/>
        <v>0.25480000000000003</v>
      </c>
      <c r="D107" s="86">
        <f t="shared" si="10"/>
        <v>0.27200000000000002</v>
      </c>
      <c r="E107" s="86">
        <f t="shared" si="12"/>
        <v>6.0999999999999999E-2</v>
      </c>
      <c r="F107" s="86">
        <f t="shared" si="11"/>
        <v>2.3E-2</v>
      </c>
      <c r="G107" s="87">
        <v>0.27800000000000002</v>
      </c>
      <c r="H107" s="353">
        <v>0.27200000000000002</v>
      </c>
      <c r="I107" s="87">
        <v>6.0999999999999999E-2</v>
      </c>
      <c r="J107" s="354">
        <v>2.3E-2</v>
      </c>
      <c r="K107" s="25">
        <f>((3/3)*L98)+((9/3)*L110)</f>
        <v>13293</v>
      </c>
      <c r="L107" s="95"/>
      <c r="M107" s="82"/>
      <c r="N107" s="82"/>
      <c r="O107" s="82"/>
      <c r="P107" s="82"/>
    </row>
    <row r="108" spans="1:19">
      <c r="A108" s="19">
        <f t="shared" si="8"/>
        <v>40724</v>
      </c>
      <c r="B108" s="19">
        <f t="shared" si="7"/>
        <v>41089</v>
      </c>
      <c r="C108" s="86">
        <f t="shared" si="9"/>
        <v>0.25219999999999998</v>
      </c>
      <c r="D108" s="86">
        <f t="shared" si="10"/>
        <v>0.27200000000000002</v>
      </c>
      <c r="E108" s="86">
        <f t="shared" si="12"/>
        <v>6.0999999999999999E-2</v>
      </c>
      <c r="F108" s="86">
        <f t="shared" si="11"/>
        <v>2.3E-2</v>
      </c>
      <c r="G108" s="87">
        <v>0.27800000000000002</v>
      </c>
      <c r="H108" s="353">
        <v>0.27200000000000002</v>
      </c>
      <c r="I108" s="87">
        <v>6.0999999999999999E-2</v>
      </c>
      <c r="J108" s="354">
        <v>2.3E-2</v>
      </c>
      <c r="K108" s="25">
        <f>((2/3)*L98)+((10/3)*L110)</f>
        <v>13334</v>
      </c>
      <c r="L108" s="95"/>
      <c r="M108" s="82"/>
      <c r="N108" s="82"/>
      <c r="O108" s="82"/>
      <c r="P108" s="82"/>
    </row>
    <row r="109" spans="1:19">
      <c r="A109" s="19">
        <f t="shared" si="8"/>
        <v>40755</v>
      </c>
      <c r="B109" s="19">
        <f t="shared" si="7"/>
        <v>41120</v>
      </c>
      <c r="C109" s="83">
        <f t="shared" si="9"/>
        <v>0.24959999999999999</v>
      </c>
      <c r="D109" s="83">
        <f t="shared" si="10"/>
        <v>0.27200000000000002</v>
      </c>
      <c r="E109" s="83">
        <f t="shared" si="12"/>
        <v>6.0999999999999999E-2</v>
      </c>
      <c r="F109" s="83">
        <f t="shared" si="11"/>
        <v>2.3E-2</v>
      </c>
      <c r="G109" s="87">
        <v>0.27800000000000002</v>
      </c>
      <c r="H109" s="353">
        <v>0.27200000000000002</v>
      </c>
      <c r="I109" s="87">
        <v>6.0999999999999999E-2</v>
      </c>
      <c r="J109" s="354">
        <v>2.3E-2</v>
      </c>
      <c r="K109" s="25">
        <f>((1/3)*L98)+((11/3)*L110)</f>
        <v>13375</v>
      </c>
      <c r="L109" s="95"/>
      <c r="M109" s="82"/>
      <c r="N109" s="82"/>
      <c r="O109" s="82"/>
      <c r="P109" s="82"/>
    </row>
    <row r="110" spans="1:19" s="80" customFormat="1">
      <c r="A110" s="79">
        <f t="shared" si="8"/>
        <v>40786</v>
      </c>
      <c r="B110" s="79">
        <f t="shared" si="7"/>
        <v>41151</v>
      </c>
      <c r="C110" s="88">
        <f t="shared" si="9"/>
        <v>0.247</v>
      </c>
      <c r="D110" s="88">
        <f t="shared" si="10"/>
        <v>0.27200000000000002</v>
      </c>
      <c r="E110" s="88">
        <f t="shared" si="12"/>
        <v>6.0999999999999999E-2</v>
      </c>
      <c r="F110" s="88">
        <f t="shared" si="11"/>
        <v>2.3E-2</v>
      </c>
      <c r="G110" s="89">
        <v>0.247</v>
      </c>
      <c r="H110" s="351">
        <v>0.27200000000000002</v>
      </c>
      <c r="I110" s="89">
        <v>6.0999999999999999E-2</v>
      </c>
      <c r="J110" s="352">
        <v>2.3E-2</v>
      </c>
      <c r="K110" s="78">
        <f>(L110*4)</f>
        <v>13416</v>
      </c>
      <c r="L110" s="96">
        <v>3354</v>
      </c>
      <c r="M110" s="355">
        <f>AVERAGE(R110:R121)</f>
        <v>0.55500000000000005</v>
      </c>
      <c r="N110" s="355">
        <v>0.26</v>
      </c>
      <c r="O110" s="355">
        <f>AVERAGE(S110:S121)</f>
        <v>0.55500000000000005</v>
      </c>
      <c r="P110" s="355">
        <v>0.32800000000000001</v>
      </c>
      <c r="Q110" s="355">
        <v>0.68899999999999995</v>
      </c>
      <c r="R110" s="355">
        <v>0.55500000000000005</v>
      </c>
      <c r="S110" s="355">
        <v>0.55500000000000005</v>
      </c>
    </row>
    <row r="111" spans="1:19" s="80" customFormat="1">
      <c r="A111" s="79">
        <f t="shared" si="8"/>
        <v>40816</v>
      </c>
      <c r="B111" s="79">
        <f t="shared" si="7"/>
        <v>41181</v>
      </c>
      <c r="C111" s="88">
        <f t="shared" si="9"/>
        <v>0.24610000000000001</v>
      </c>
      <c r="D111" s="88">
        <f t="shared" si="10"/>
        <v>0.27200000000000002</v>
      </c>
      <c r="E111" s="88">
        <f t="shared" si="12"/>
        <v>6.13E-2</v>
      </c>
      <c r="F111" s="88">
        <f t="shared" si="11"/>
        <v>2.3300000000000001E-2</v>
      </c>
      <c r="G111" s="89">
        <v>0.247</v>
      </c>
      <c r="H111" s="351">
        <v>0.27200000000000002</v>
      </c>
      <c r="I111" s="89">
        <v>6.0999999999999999E-2</v>
      </c>
      <c r="J111" s="352">
        <v>2.3E-2</v>
      </c>
      <c r="K111" s="78">
        <f>((11/3)*L110)+((1/3)*L122)</f>
        <v>13457</v>
      </c>
      <c r="L111" s="96"/>
      <c r="M111" s="355">
        <f t="shared" ref="M111:M174" si="13">AVERAGE(R111:R122)</f>
        <v>0.55579999999999996</v>
      </c>
      <c r="N111" s="355">
        <v>0.26</v>
      </c>
      <c r="O111" s="355">
        <f t="shared" ref="O111:O174" si="14">AVERAGE(S111:S122)</f>
        <v>0.55669999999999997</v>
      </c>
      <c r="P111" s="355">
        <v>0.32800000000000001</v>
      </c>
      <c r="Q111" s="355">
        <v>0.68899999999999995</v>
      </c>
      <c r="R111" s="355">
        <v>0.55500000000000005</v>
      </c>
      <c r="S111" s="355">
        <v>0.55500000000000005</v>
      </c>
    </row>
    <row r="112" spans="1:19" s="80" customFormat="1">
      <c r="A112" s="79">
        <f t="shared" si="8"/>
        <v>40847</v>
      </c>
      <c r="B112" s="79">
        <f t="shared" si="7"/>
        <v>41212</v>
      </c>
      <c r="C112" s="88">
        <f t="shared" si="9"/>
        <v>0.2452</v>
      </c>
      <c r="D112" s="88">
        <f t="shared" si="10"/>
        <v>0.27200000000000002</v>
      </c>
      <c r="E112" s="88">
        <f t="shared" si="12"/>
        <v>6.1499999999999999E-2</v>
      </c>
      <c r="F112" s="88">
        <f t="shared" si="11"/>
        <v>2.35E-2</v>
      </c>
      <c r="G112" s="89">
        <v>0.247</v>
      </c>
      <c r="H112" s="351">
        <v>0.27200000000000002</v>
      </c>
      <c r="I112" s="89">
        <v>6.0999999999999999E-2</v>
      </c>
      <c r="J112" s="352">
        <v>2.3E-2</v>
      </c>
      <c r="K112" s="78">
        <f>((10/3)*L110)+((2/3)*L122)</f>
        <v>13499</v>
      </c>
      <c r="L112" s="96"/>
      <c r="M112" s="355">
        <f t="shared" si="13"/>
        <v>0.55669999999999997</v>
      </c>
      <c r="N112" s="355">
        <v>0.26</v>
      </c>
      <c r="O112" s="355">
        <f t="shared" si="14"/>
        <v>0.55830000000000002</v>
      </c>
      <c r="P112" s="355">
        <v>0.32800000000000001</v>
      </c>
      <c r="Q112" s="355">
        <v>0.68899999999999995</v>
      </c>
      <c r="R112" s="355">
        <v>0.55500000000000005</v>
      </c>
      <c r="S112" s="355">
        <v>0.55500000000000005</v>
      </c>
    </row>
    <row r="113" spans="1:19" s="80" customFormat="1">
      <c r="A113" s="79">
        <f t="shared" si="8"/>
        <v>40877</v>
      </c>
      <c r="B113" s="79">
        <f t="shared" si="7"/>
        <v>41242</v>
      </c>
      <c r="C113" s="88">
        <f t="shared" si="9"/>
        <v>0.24429999999999999</v>
      </c>
      <c r="D113" s="88">
        <f t="shared" si="10"/>
        <v>0.27200000000000002</v>
      </c>
      <c r="E113" s="88">
        <f t="shared" si="12"/>
        <v>6.1800000000000001E-2</v>
      </c>
      <c r="F113" s="88">
        <f t="shared" si="11"/>
        <v>2.3800000000000002E-2</v>
      </c>
      <c r="G113" s="89">
        <v>0.247</v>
      </c>
      <c r="H113" s="351">
        <v>0.27200000000000002</v>
      </c>
      <c r="I113" s="89">
        <v>6.0999999999999999E-2</v>
      </c>
      <c r="J113" s="352">
        <v>2.3E-2</v>
      </c>
      <c r="K113" s="78">
        <f>((9/3)*L110)+((3/3)*L122)</f>
        <v>13540</v>
      </c>
      <c r="L113" s="96"/>
      <c r="M113" s="355">
        <f t="shared" si="13"/>
        <v>0.5575</v>
      </c>
      <c r="N113" s="355">
        <v>0.26</v>
      </c>
      <c r="O113" s="355">
        <f t="shared" si="14"/>
        <v>0.56000000000000005</v>
      </c>
      <c r="P113" s="355">
        <v>0.32800000000000001</v>
      </c>
      <c r="Q113" s="355">
        <v>0.68899999999999995</v>
      </c>
      <c r="R113" s="355">
        <v>0.55500000000000005</v>
      </c>
      <c r="S113" s="355">
        <v>0.55500000000000005</v>
      </c>
    </row>
    <row r="114" spans="1:19" s="80" customFormat="1">
      <c r="A114" s="79">
        <f t="shared" si="8"/>
        <v>40908</v>
      </c>
      <c r="B114" s="79">
        <f t="shared" si="7"/>
        <v>41273</v>
      </c>
      <c r="C114" s="88">
        <f t="shared" si="9"/>
        <v>0.24329999999999999</v>
      </c>
      <c r="D114" s="88">
        <f t="shared" si="10"/>
        <v>0.27200000000000002</v>
      </c>
      <c r="E114" s="88">
        <f t="shared" si="12"/>
        <v>6.2E-2</v>
      </c>
      <c r="F114" s="88">
        <f t="shared" si="11"/>
        <v>2.4E-2</v>
      </c>
      <c r="G114" s="89">
        <v>0.247</v>
      </c>
      <c r="H114" s="351">
        <v>0.27200000000000002</v>
      </c>
      <c r="I114" s="89">
        <v>6.0999999999999999E-2</v>
      </c>
      <c r="J114" s="352">
        <v>2.3E-2</v>
      </c>
      <c r="K114" s="78">
        <f>((8/3)*L110)+((4/3)*L122)</f>
        <v>13581</v>
      </c>
      <c r="L114" s="96"/>
      <c r="M114" s="355">
        <f t="shared" si="13"/>
        <v>0.55830000000000002</v>
      </c>
      <c r="N114" s="355">
        <v>0.26</v>
      </c>
      <c r="O114" s="355">
        <f t="shared" si="14"/>
        <v>0.56169999999999998</v>
      </c>
      <c r="P114" s="355">
        <v>0.32800000000000001</v>
      </c>
      <c r="Q114" s="355">
        <v>0.68899999999999995</v>
      </c>
      <c r="R114" s="355">
        <v>0.55500000000000005</v>
      </c>
      <c r="S114" s="355">
        <v>0.55500000000000005</v>
      </c>
    </row>
    <row r="115" spans="1:19" s="80" customFormat="1">
      <c r="A115" s="79">
        <f t="shared" si="8"/>
        <v>40939</v>
      </c>
      <c r="B115" s="79">
        <f t="shared" si="7"/>
        <v>41304</v>
      </c>
      <c r="C115" s="88">
        <f t="shared" si="9"/>
        <v>0.2424</v>
      </c>
      <c r="D115" s="88">
        <f t="shared" si="10"/>
        <v>0.27200000000000002</v>
      </c>
      <c r="E115" s="88">
        <f t="shared" si="12"/>
        <v>6.2300000000000001E-2</v>
      </c>
      <c r="F115" s="88">
        <f t="shared" si="11"/>
        <v>2.4299999999999999E-2</v>
      </c>
      <c r="G115" s="89">
        <v>0.247</v>
      </c>
      <c r="H115" s="351">
        <v>0.27200000000000002</v>
      </c>
      <c r="I115" s="89">
        <v>6.0999999999999999E-2</v>
      </c>
      <c r="J115" s="352">
        <v>2.3E-2</v>
      </c>
      <c r="K115" s="78">
        <f>((7/3)*L110)+((5/3)*L122)</f>
        <v>13623</v>
      </c>
      <c r="L115" s="96"/>
      <c r="M115" s="355">
        <f t="shared" si="13"/>
        <v>0.55920000000000003</v>
      </c>
      <c r="N115" s="355">
        <v>0.26</v>
      </c>
      <c r="O115" s="355">
        <f t="shared" si="14"/>
        <v>0.56330000000000002</v>
      </c>
      <c r="P115" s="355">
        <v>0.32800000000000001</v>
      </c>
      <c r="Q115" s="355">
        <v>0.68899999999999995</v>
      </c>
      <c r="R115" s="355">
        <v>0.55500000000000005</v>
      </c>
      <c r="S115" s="355">
        <v>0.55500000000000005</v>
      </c>
    </row>
    <row r="116" spans="1:19" s="80" customFormat="1">
      <c r="A116" s="79">
        <f t="shared" si="8"/>
        <v>40968</v>
      </c>
      <c r="B116" s="79">
        <f t="shared" si="7"/>
        <v>41332</v>
      </c>
      <c r="C116" s="88">
        <f t="shared" si="9"/>
        <v>0.24149999999999999</v>
      </c>
      <c r="D116" s="88">
        <f t="shared" si="10"/>
        <v>0.27200000000000002</v>
      </c>
      <c r="E116" s="88">
        <f t="shared" si="12"/>
        <v>6.25E-2</v>
      </c>
      <c r="F116" s="88">
        <f t="shared" si="11"/>
        <v>2.4500000000000001E-2</v>
      </c>
      <c r="G116" s="89">
        <v>0.247</v>
      </c>
      <c r="H116" s="351">
        <v>0.27200000000000002</v>
      </c>
      <c r="I116" s="89">
        <v>6.0999999999999999E-2</v>
      </c>
      <c r="J116" s="352">
        <v>2.3E-2</v>
      </c>
      <c r="K116" s="78">
        <f>((6/3)*L110)+((6/3)*L122)</f>
        <v>13664</v>
      </c>
      <c r="L116" s="96"/>
      <c r="M116" s="355">
        <f t="shared" si="13"/>
        <v>0.56000000000000005</v>
      </c>
      <c r="N116" s="355">
        <v>0.26</v>
      </c>
      <c r="O116" s="355">
        <f t="shared" si="14"/>
        <v>0.56499999999999995</v>
      </c>
      <c r="P116" s="355">
        <v>0.32800000000000001</v>
      </c>
      <c r="Q116" s="355">
        <v>0.68899999999999995</v>
      </c>
      <c r="R116" s="355">
        <v>0.55500000000000005</v>
      </c>
      <c r="S116" s="355">
        <v>0.55500000000000005</v>
      </c>
    </row>
    <row r="117" spans="1:19" s="80" customFormat="1">
      <c r="A117" s="79">
        <f t="shared" si="8"/>
        <v>40999</v>
      </c>
      <c r="B117" s="79">
        <f t="shared" si="7"/>
        <v>41363</v>
      </c>
      <c r="C117" s="88">
        <f t="shared" si="9"/>
        <v>0.24060000000000001</v>
      </c>
      <c r="D117" s="88">
        <f t="shared" si="10"/>
        <v>0.27200000000000002</v>
      </c>
      <c r="E117" s="88">
        <f t="shared" si="12"/>
        <v>6.2799999999999995E-2</v>
      </c>
      <c r="F117" s="88">
        <f t="shared" si="11"/>
        <v>2.4799999999999999E-2</v>
      </c>
      <c r="G117" s="89">
        <v>0.247</v>
      </c>
      <c r="H117" s="351">
        <v>0.27200000000000002</v>
      </c>
      <c r="I117" s="89">
        <v>6.0999999999999999E-2</v>
      </c>
      <c r="J117" s="352">
        <v>2.3E-2</v>
      </c>
      <c r="K117" s="78">
        <f>((5/3)*L110)+((7/3)*L122)</f>
        <v>13705</v>
      </c>
      <c r="L117" s="96"/>
      <c r="M117" s="355">
        <f t="shared" si="13"/>
        <v>0.56079999999999997</v>
      </c>
      <c r="N117" s="355">
        <v>0.26</v>
      </c>
      <c r="O117" s="355">
        <f t="shared" si="14"/>
        <v>0.56669999999999998</v>
      </c>
      <c r="P117" s="355">
        <v>0.32800000000000001</v>
      </c>
      <c r="Q117" s="355">
        <v>0.68899999999999995</v>
      </c>
      <c r="R117" s="355">
        <v>0.55500000000000005</v>
      </c>
      <c r="S117" s="355">
        <v>0.55500000000000005</v>
      </c>
    </row>
    <row r="118" spans="1:19" s="80" customFormat="1">
      <c r="A118" s="79">
        <f t="shared" si="8"/>
        <v>41029</v>
      </c>
      <c r="B118" s="79">
        <f t="shared" si="7"/>
        <v>41393</v>
      </c>
      <c r="C118" s="88">
        <f t="shared" si="9"/>
        <v>0.2397</v>
      </c>
      <c r="D118" s="88">
        <f t="shared" si="10"/>
        <v>0.27200000000000002</v>
      </c>
      <c r="E118" s="88">
        <f t="shared" si="12"/>
        <v>6.3E-2</v>
      </c>
      <c r="F118" s="88">
        <f t="shared" si="11"/>
        <v>2.5000000000000001E-2</v>
      </c>
      <c r="G118" s="89">
        <v>0.247</v>
      </c>
      <c r="H118" s="351">
        <v>0.27200000000000002</v>
      </c>
      <c r="I118" s="89">
        <v>6.0999999999999999E-2</v>
      </c>
      <c r="J118" s="352">
        <v>2.3E-2</v>
      </c>
      <c r="K118" s="78">
        <f>((4/3)*L110)+((8/3)*L122)</f>
        <v>13747</v>
      </c>
      <c r="L118" s="96"/>
      <c r="M118" s="355">
        <f t="shared" si="13"/>
        <v>0.56169999999999998</v>
      </c>
      <c r="N118" s="355">
        <v>0.26</v>
      </c>
      <c r="O118" s="355">
        <f t="shared" si="14"/>
        <v>0.56830000000000003</v>
      </c>
      <c r="P118" s="355">
        <v>0.32800000000000001</v>
      </c>
      <c r="Q118" s="355">
        <v>0.68899999999999995</v>
      </c>
      <c r="R118" s="355">
        <v>0.55500000000000005</v>
      </c>
      <c r="S118" s="355">
        <v>0.55500000000000005</v>
      </c>
    </row>
    <row r="119" spans="1:19" s="80" customFormat="1">
      <c r="A119" s="79">
        <f t="shared" si="8"/>
        <v>41060</v>
      </c>
      <c r="B119" s="79">
        <f t="shared" si="7"/>
        <v>41424</v>
      </c>
      <c r="C119" s="88">
        <f t="shared" si="9"/>
        <v>0.23880000000000001</v>
      </c>
      <c r="D119" s="88">
        <f t="shared" si="10"/>
        <v>0.27200000000000002</v>
      </c>
      <c r="E119" s="88">
        <f t="shared" si="12"/>
        <v>6.3299999999999995E-2</v>
      </c>
      <c r="F119" s="88">
        <f t="shared" si="11"/>
        <v>2.53E-2</v>
      </c>
      <c r="G119" s="89">
        <v>0.247</v>
      </c>
      <c r="H119" s="351">
        <v>0.27200000000000002</v>
      </c>
      <c r="I119" s="89">
        <v>6.0999999999999999E-2</v>
      </c>
      <c r="J119" s="352">
        <v>2.3E-2</v>
      </c>
      <c r="K119" s="78">
        <f>((3/3)*L110)+((9/3)*L122)</f>
        <v>13788</v>
      </c>
      <c r="L119" s="96"/>
      <c r="M119" s="355">
        <f t="shared" si="13"/>
        <v>0.5625</v>
      </c>
      <c r="N119" s="355">
        <v>0.26</v>
      </c>
      <c r="O119" s="355">
        <f t="shared" si="14"/>
        <v>0.56999999999999995</v>
      </c>
      <c r="P119" s="355">
        <v>0.32800000000000001</v>
      </c>
      <c r="Q119" s="355">
        <v>0.68899999999999995</v>
      </c>
      <c r="R119" s="355">
        <v>0.55500000000000005</v>
      </c>
      <c r="S119" s="355">
        <v>0.55500000000000005</v>
      </c>
    </row>
    <row r="120" spans="1:19" s="80" customFormat="1">
      <c r="A120" s="79">
        <f t="shared" si="8"/>
        <v>41090</v>
      </c>
      <c r="B120" s="79">
        <f t="shared" si="7"/>
        <v>41454</v>
      </c>
      <c r="C120" s="88">
        <f t="shared" si="9"/>
        <v>0.23780000000000001</v>
      </c>
      <c r="D120" s="88">
        <f t="shared" si="10"/>
        <v>0.27200000000000002</v>
      </c>
      <c r="E120" s="88">
        <f t="shared" si="12"/>
        <v>6.3500000000000001E-2</v>
      </c>
      <c r="F120" s="88">
        <f t="shared" si="11"/>
        <v>2.5499999999999998E-2</v>
      </c>
      <c r="G120" s="89">
        <v>0.247</v>
      </c>
      <c r="H120" s="351">
        <v>0.27200000000000002</v>
      </c>
      <c r="I120" s="89">
        <v>6.0999999999999999E-2</v>
      </c>
      <c r="J120" s="352">
        <v>2.3E-2</v>
      </c>
      <c r="K120" s="78">
        <f>((2/3)*L110)+((10/3)*L122)</f>
        <v>13829</v>
      </c>
      <c r="L120" s="96"/>
      <c r="M120" s="355">
        <f t="shared" si="13"/>
        <v>0.56330000000000002</v>
      </c>
      <c r="N120" s="355">
        <v>0.26</v>
      </c>
      <c r="O120" s="355">
        <f t="shared" si="14"/>
        <v>0.57169999999999999</v>
      </c>
      <c r="P120" s="355">
        <v>0.32800000000000001</v>
      </c>
      <c r="Q120" s="355">
        <v>0.68899999999999995</v>
      </c>
      <c r="R120" s="355">
        <v>0.55500000000000005</v>
      </c>
      <c r="S120" s="355">
        <v>0.55500000000000005</v>
      </c>
    </row>
    <row r="121" spans="1:19" s="80" customFormat="1">
      <c r="A121" s="84">
        <f t="shared" si="8"/>
        <v>41121</v>
      </c>
      <c r="B121" s="84">
        <f t="shared" si="7"/>
        <v>41485</v>
      </c>
      <c r="C121" s="88">
        <f t="shared" si="9"/>
        <v>0.2369</v>
      </c>
      <c r="D121" s="88">
        <f t="shared" si="10"/>
        <v>0.27200000000000002</v>
      </c>
      <c r="E121" s="88">
        <f t="shared" si="12"/>
        <v>6.3799999999999996E-2</v>
      </c>
      <c r="F121" s="88">
        <f t="shared" si="11"/>
        <v>2.58E-2</v>
      </c>
      <c r="G121" s="89">
        <v>0.247</v>
      </c>
      <c r="H121" s="351">
        <v>0.27200000000000002</v>
      </c>
      <c r="I121" s="89">
        <v>6.0999999999999999E-2</v>
      </c>
      <c r="J121" s="352">
        <v>2.3E-2</v>
      </c>
      <c r="K121" s="78">
        <f>((1/3)*L110)+((11/3)*L122)</f>
        <v>13871</v>
      </c>
      <c r="L121" s="96"/>
      <c r="M121" s="355">
        <f t="shared" si="13"/>
        <v>0.56420000000000003</v>
      </c>
      <c r="N121" s="355">
        <v>0.26</v>
      </c>
      <c r="O121" s="355">
        <f t="shared" si="14"/>
        <v>0.57330000000000003</v>
      </c>
      <c r="P121" s="355">
        <v>0.32800000000000001</v>
      </c>
      <c r="Q121" s="355">
        <v>0.68899999999999995</v>
      </c>
      <c r="R121" s="355">
        <v>0.55500000000000005</v>
      </c>
      <c r="S121" s="355">
        <v>0.55500000000000005</v>
      </c>
    </row>
    <row r="122" spans="1:19">
      <c r="A122" s="19">
        <f t="shared" si="8"/>
        <v>41152</v>
      </c>
      <c r="B122" s="19">
        <f t="shared" si="7"/>
        <v>41516</v>
      </c>
      <c r="C122" s="86">
        <f t="shared" si="9"/>
        <v>0.23599999999999999</v>
      </c>
      <c r="D122" s="86">
        <f t="shared" si="10"/>
        <v>0.27200000000000002</v>
      </c>
      <c r="E122" s="86">
        <f t="shared" si="12"/>
        <v>6.4000000000000001E-2</v>
      </c>
      <c r="F122" s="86">
        <f t="shared" si="11"/>
        <v>2.5999999999999999E-2</v>
      </c>
      <c r="G122" s="87">
        <v>0.23599999999999999</v>
      </c>
      <c r="H122" s="87">
        <v>0.27200000000000002</v>
      </c>
      <c r="I122" s="87">
        <v>6.4000000000000001E-2</v>
      </c>
      <c r="J122" s="87">
        <v>2.5999999999999999E-2</v>
      </c>
      <c r="K122" s="25">
        <f>(L122*4)</f>
        <v>13912</v>
      </c>
      <c r="L122" s="95">
        <v>3478</v>
      </c>
      <c r="M122" s="82">
        <f t="shared" si="13"/>
        <v>0.56499999999999995</v>
      </c>
      <c r="N122" s="82">
        <v>0.26</v>
      </c>
      <c r="O122" s="82">
        <f t="shared" si="14"/>
        <v>0.57499999999999996</v>
      </c>
      <c r="P122" s="82">
        <v>0.32800000000000001</v>
      </c>
      <c r="Q122" s="82">
        <v>0.68899999999999995</v>
      </c>
      <c r="R122" s="82">
        <v>0.56499999999999995</v>
      </c>
      <c r="S122" s="82">
        <v>0.57499999999999996</v>
      </c>
    </row>
    <row r="123" spans="1:19">
      <c r="A123" s="19">
        <f t="shared" si="8"/>
        <v>41182</v>
      </c>
      <c r="B123" s="19">
        <f t="shared" si="7"/>
        <v>41546</v>
      </c>
      <c r="C123" s="86">
        <f t="shared" si="9"/>
        <v>0.23780000000000001</v>
      </c>
      <c r="D123" s="86">
        <f t="shared" si="10"/>
        <v>0.2722</v>
      </c>
      <c r="E123" s="86">
        <f t="shared" si="12"/>
        <v>6.4199999999999993E-2</v>
      </c>
      <c r="F123" s="86">
        <f t="shared" si="11"/>
        <v>2.6200000000000001E-2</v>
      </c>
      <c r="G123" s="87">
        <v>0.23599999999999999</v>
      </c>
      <c r="H123" s="87">
        <v>0.27200000000000002</v>
      </c>
      <c r="I123" s="87">
        <v>6.4000000000000001E-2</v>
      </c>
      <c r="J123" s="87">
        <v>2.5999999999999999E-2</v>
      </c>
      <c r="K123" s="25">
        <f>((11/3)*L122)+((1/3)*L134)</f>
        <v>13954</v>
      </c>
      <c r="L123" s="95"/>
      <c r="M123" s="82">
        <f t="shared" si="13"/>
        <v>0.56630000000000003</v>
      </c>
      <c r="N123" s="82">
        <v>0.26</v>
      </c>
      <c r="O123" s="82">
        <f t="shared" si="14"/>
        <v>0.57630000000000003</v>
      </c>
      <c r="P123" s="82">
        <v>0.32800000000000001</v>
      </c>
      <c r="Q123" s="82">
        <v>0.68899999999999995</v>
      </c>
      <c r="R123" s="82">
        <v>0.56499999999999995</v>
      </c>
      <c r="S123" s="82">
        <v>0.57499999999999996</v>
      </c>
    </row>
    <row r="124" spans="1:19">
      <c r="A124" s="19">
        <f t="shared" si="8"/>
        <v>41213</v>
      </c>
      <c r="B124" s="19">
        <f t="shared" si="7"/>
        <v>41577</v>
      </c>
      <c r="C124" s="86">
        <f t="shared" si="9"/>
        <v>0.23949999999999999</v>
      </c>
      <c r="D124" s="86">
        <f t="shared" si="10"/>
        <v>0.27229999999999999</v>
      </c>
      <c r="E124" s="86">
        <f t="shared" si="12"/>
        <v>6.4299999999999996E-2</v>
      </c>
      <c r="F124" s="86">
        <f t="shared" si="11"/>
        <v>2.63E-2</v>
      </c>
      <c r="G124" s="87">
        <v>0.23599999999999999</v>
      </c>
      <c r="H124" s="87">
        <v>0.27200000000000002</v>
      </c>
      <c r="I124" s="87">
        <v>6.4000000000000001E-2</v>
      </c>
      <c r="J124" s="87">
        <v>2.5999999999999999E-2</v>
      </c>
      <c r="K124" s="25">
        <f>((10/3)*L122)+((2/3)*L134)</f>
        <v>13995</v>
      </c>
      <c r="L124" s="95"/>
      <c r="M124" s="82">
        <f t="shared" si="13"/>
        <v>0.5675</v>
      </c>
      <c r="N124" s="82">
        <v>0.26</v>
      </c>
      <c r="O124" s="82">
        <f t="shared" si="14"/>
        <v>0.57750000000000001</v>
      </c>
      <c r="P124" s="82">
        <v>0.32800000000000001</v>
      </c>
      <c r="Q124" s="82">
        <v>0.68899999999999995</v>
      </c>
      <c r="R124" s="82">
        <v>0.56499999999999995</v>
      </c>
      <c r="S124" s="82">
        <v>0.57499999999999996</v>
      </c>
    </row>
    <row r="125" spans="1:19">
      <c r="A125" s="19">
        <f t="shared" si="8"/>
        <v>41243</v>
      </c>
      <c r="B125" s="19">
        <f t="shared" si="7"/>
        <v>41607</v>
      </c>
      <c r="C125" s="86">
        <f t="shared" si="9"/>
        <v>0.24129999999999999</v>
      </c>
      <c r="D125" s="86">
        <f t="shared" si="10"/>
        <v>0.27250000000000002</v>
      </c>
      <c r="E125" s="86">
        <f t="shared" si="12"/>
        <v>6.4500000000000002E-2</v>
      </c>
      <c r="F125" s="86">
        <f t="shared" si="11"/>
        <v>2.6499999999999999E-2</v>
      </c>
      <c r="G125" s="87">
        <v>0.23599999999999999</v>
      </c>
      <c r="H125" s="87">
        <v>0.27200000000000002</v>
      </c>
      <c r="I125" s="87">
        <v>6.4000000000000001E-2</v>
      </c>
      <c r="J125" s="87">
        <v>2.5999999999999999E-2</v>
      </c>
      <c r="K125" s="25">
        <f>((9/3)*L122)+((3/3)*L134)</f>
        <v>14037</v>
      </c>
      <c r="L125" s="95"/>
      <c r="M125" s="82">
        <f t="shared" si="13"/>
        <v>0.56879999999999997</v>
      </c>
      <c r="N125" s="82">
        <v>0.26</v>
      </c>
      <c r="O125" s="82">
        <f t="shared" si="14"/>
        <v>0.57879999999999998</v>
      </c>
      <c r="P125" s="82">
        <v>0.32800000000000001</v>
      </c>
      <c r="Q125" s="82">
        <v>0.68899999999999995</v>
      </c>
      <c r="R125" s="82">
        <v>0.56499999999999995</v>
      </c>
      <c r="S125" s="82">
        <v>0.57499999999999996</v>
      </c>
    </row>
    <row r="126" spans="1:19">
      <c r="A126" s="19">
        <f t="shared" si="8"/>
        <v>41274</v>
      </c>
      <c r="B126" s="19">
        <f t="shared" si="7"/>
        <v>41638</v>
      </c>
      <c r="C126" s="86">
        <f t="shared" si="9"/>
        <v>0.24299999999999999</v>
      </c>
      <c r="D126" s="86">
        <f t="shared" si="10"/>
        <v>0.2727</v>
      </c>
      <c r="E126" s="86">
        <f t="shared" si="12"/>
        <v>6.4699999999999994E-2</v>
      </c>
      <c r="F126" s="86">
        <f t="shared" si="11"/>
        <v>2.6700000000000002E-2</v>
      </c>
      <c r="G126" s="87">
        <v>0.23599999999999999</v>
      </c>
      <c r="H126" s="87">
        <v>0.27200000000000002</v>
      </c>
      <c r="I126" s="87">
        <v>6.4000000000000001E-2</v>
      </c>
      <c r="J126" s="87">
        <v>2.5999999999999999E-2</v>
      </c>
      <c r="K126" s="25">
        <f>((8/3)*L122)+((4/3)*L134)</f>
        <v>14079</v>
      </c>
      <c r="L126" s="95"/>
      <c r="M126" s="82">
        <f t="shared" si="13"/>
        <v>0.56999999999999995</v>
      </c>
      <c r="N126" s="82">
        <v>0.26</v>
      </c>
      <c r="O126" s="82">
        <f t="shared" si="14"/>
        <v>0.57999999999999996</v>
      </c>
      <c r="P126" s="82">
        <v>0.32800000000000001</v>
      </c>
      <c r="Q126" s="82">
        <v>0.68899999999999995</v>
      </c>
      <c r="R126" s="82">
        <v>0.56499999999999995</v>
      </c>
      <c r="S126" s="82">
        <v>0.57499999999999996</v>
      </c>
    </row>
    <row r="127" spans="1:19">
      <c r="A127" s="19">
        <f t="shared" si="8"/>
        <v>41305</v>
      </c>
      <c r="B127" s="19">
        <f t="shared" si="7"/>
        <v>41669</v>
      </c>
      <c r="C127" s="86">
        <f t="shared" si="9"/>
        <v>0.24479999999999999</v>
      </c>
      <c r="D127" s="86">
        <f t="shared" si="10"/>
        <v>0.27279999999999999</v>
      </c>
      <c r="E127" s="86">
        <f t="shared" si="12"/>
        <v>6.4799999999999996E-2</v>
      </c>
      <c r="F127" s="86">
        <f t="shared" si="11"/>
        <v>2.6800000000000001E-2</v>
      </c>
      <c r="G127" s="87">
        <v>0.23599999999999999</v>
      </c>
      <c r="H127" s="87">
        <v>0.27200000000000002</v>
      </c>
      <c r="I127" s="87">
        <v>6.4000000000000001E-2</v>
      </c>
      <c r="J127" s="87">
        <v>2.5999999999999999E-2</v>
      </c>
      <c r="K127" s="25">
        <f>((7/3)*L122)+((5/3)*L134)</f>
        <v>14120</v>
      </c>
      <c r="L127" s="95"/>
      <c r="M127" s="82">
        <f t="shared" si="13"/>
        <v>0.57130000000000003</v>
      </c>
      <c r="N127" s="82">
        <v>0.26</v>
      </c>
      <c r="O127" s="82">
        <f t="shared" si="14"/>
        <v>0.58130000000000004</v>
      </c>
      <c r="P127" s="82">
        <v>0.32800000000000001</v>
      </c>
      <c r="Q127" s="82">
        <v>0.68899999999999995</v>
      </c>
      <c r="R127" s="82">
        <v>0.56499999999999995</v>
      </c>
      <c r="S127" s="82">
        <v>0.57499999999999996</v>
      </c>
    </row>
    <row r="128" spans="1:19">
      <c r="A128" s="19">
        <f t="shared" si="8"/>
        <v>41333</v>
      </c>
      <c r="B128" s="19">
        <f t="shared" si="7"/>
        <v>41697</v>
      </c>
      <c r="C128" s="86">
        <f t="shared" si="9"/>
        <v>0.2465</v>
      </c>
      <c r="D128" s="86">
        <f t="shared" si="10"/>
        <v>0.27300000000000002</v>
      </c>
      <c r="E128" s="86">
        <f t="shared" si="12"/>
        <v>6.5000000000000002E-2</v>
      </c>
      <c r="F128" s="86">
        <f t="shared" si="11"/>
        <v>2.7E-2</v>
      </c>
      <c r="G128" s="87">
        <v>0.23599999999999999</v>
      </c>
      <c r="H128" s="87">
        <v>0.27200000000000002</v>
      </c>
      <c r="I128" s="87">
        <v>6.4000000000000001E-2</v>
      </c>
      <c r="J128" s="87">
        <v>2.5999999999999999E-2</v>
      </c>
      <c r="K128" s="25">
        <f>((6/3)*L122)+((6/3)*L134)</f>
        <v>14162</v>
      </c>
      <c r="L128" s="95"/>
      <c r="M128" s="82">
        <f t="shared" si="13"/>
        <v>0.57250000000000001</v>
      </c>
      <c r="N128" s="82">
        <v>0.26</v>
      </c>
      <c r="O128" s="82">
        <f t="shared" si="14"/>
        <v>0.58250000000000002</v>
      </c>
      <c r="P128" s="82">
        <v>0.32800000000000001</v>
      </c>
      <c r="Q128" s="82">
        <v>0.68899999999999995</v>
      </c>
      <c r="R128" s="82">
        <v>0.56499999999999995</v>
      </c>
      <c r="S128" s="82">
        <v>0.57499999999999996</v>
      </c>
    </row>
    <row r="129" spans="1:19">
      <c r="A129" s="19">
        <f t="shared" si="8"/>
        <v>41364</v>
      </c>
      <c r="B129" s="19">
        <f t="shared" si="7"/>
        <v>41728</v>
      </c>
      <c r="C129" s="86">
        <f t="shared" si="9"/>
        <v>0.24829999999999999</v>
      </c>
      <c r="D129" s="86">
        <f t="shared" si="10"/>
        <v>0.2732</v>
      </c>
      <c r="E129" s="86">
        <f t="shared" si="12"/>
        <v>6.5199999999999994E-2</v>
      </c>
      <c r="F129" s="86">
        <f t="shared" si="11"/>
        <v>2.7199999999999998E-2</v>
      </c>
      <c r="G129" s="87">
        <v>0.23599999999999999</v>
      </c>
      <c r="H129" s="87">
        <v>0.27200000000000002</v>
      </c>
      <c r="I129" s="87">
        <v>6.4000000000000001E-2</v>
      </c>
      <c r="J129" s="87">
        <v>2.5999999999999999E-2</v>
      </c>
      <c r="K129" s="25">
        <f>((5/3)*L122)+((7/3)*L134)</f>
        <v>14204</v>
      </c>
      <c r="L129" s="95"/>
      <c r="M129" s="82">
        <f t="shared" si="13"/>
        <v>0.57379999999999998</v>
      </c>
      <c r="N129" s="82">
        <v>0.26</v>
      </c>
      <c r="O129" s="82">
        <f t="shared" si="14"/>
        <v>0.58379999999999999</v>
      </c>
      <c r="P129" s="82">
        <v>0.32800000000000001</v>
      </c>
      <c r="Q129" s="82">
        <v>0.68899999999999995</v>
      </c>
      <c r="R129" s="82">
        <v>0.56499999999999995</v>
      </c>
      <c r="S129" s="82">
        <v>0.57499999999999996</v>
      </c>
    </row>
    <row r="130" spans="1:19">
      <c r="A130" s="19">
        <f t="shared" si="8"/>
        <v>41394</v>
      </c>
      <c r="B130" s="19">
        <f t="shared" ref="B130:B193" si="15">EDATE(A130,12)-1</f>
        <v>41758</v>
      </c>
      <c r="C130" s="86">
        <f t="shared" si="9"/>
        <v>0.25</v>
      </c>
      <c r="D130" s="86">
        <f t="shared" si="10"/>
        <v>0.27329999999999999</v>
      </c>
      <c r="E130" s="86">
        <f t="shared" si="12"/>
        <v>6.5299999999999997E-2</v>
      </c>
      <c r="F130" s="86">
        <f t="shared" si="11"/>
        <v>2.7300000000000001E-2</v>
      </c>
      <c r="G130" s="87">
        <v>0.23599999999999999</v>
      </c>
      <c r="H130" s="87">
        <v>0.27200000000000002</v>
      </c>
      <c r="I130" s="87">
        <v>6.4000000000000001E-2</v>
      </c>
      <c r="J130" s="87">
        <v>2.5999999999999999E-2</v>
      </c>
      <c r="K130" s="25">
        <f>((4/3)*L122)+((8/3)*L134)</f>
        <v>14245</v>
      </c>
      <c r="L130" s="95"/>
      <c r="M130" s="82">
        <f t="shared" si="13"/>
        <v>0.57499999999999996</v>
      </c>
      <c r="N130" s="82">
        <v>0.26</v>
      </c>
      <c r="O130" s="82">
        <f t="shared" si="14"/>
        <v>0.58499999999999996</v>
      </c>
      <c r="P130" s="82">
        <v>0.32800000000000001</v>
      </c>
      <c r="Q130" s="82">
        <v>0.68899999999999995</v>
      </c>
      <c r="R130" s="82">
        <v>0.56499999999999995</v>
      </c>
      <c r="S130" s="82">
        <v>0.57499999999999996</v>
      </c>
    </row>
    <row r="131" spans="1:19">
      <c r="A131" s="19">
        <f t="shared" ref="A131:A194" si="16">EDATE(A130,1)</f>
        <v>41425</v>
      </c>
      <c r="B131" s="19">
        <f t="shared" si="15"/>
        <v>41789</v>
      </c>
      <c r="C131" s="86">
        <f t="shared" ref="C131:C194" si="17">AVERAGE(G131:G142)</f>
        <v>0.25180000000000002</v>
      </c>
      <c r="D131" s="86">
        <f t="shared" ref="D131:D194" si="18">AVERAGE(H131:H142)</f>
        <v>0.27350000000000002</v>
      </c>
      <c r="E131" s="86">
        <f t="shared" si="12"/>
        <v>6.5500000000000003E-2</v>
      </c>
      <c r="F131" s="86">
        <f t="shared" si="11"/>
        <v>2.75E-2</v>
      </c>
      <c r="G131" s="87">
        <v>0.23599999999999999</v>
      </c>
      <c r="H131" s="87">
        <v>0.27200000000000002</v>
      </c>
      <c r="I131" s="87">
        <v>6.4000000000000001E-2</v>
      </c>
      <c r="J131" s="87">
        <v>2.5999999999999999E-2</v>
      </c>
      <c r="K131" s="25">
        <f>((3/3)*L122)+((9/3)*L134)</f>
        <v>14287</v>
      </c>
      <c r="L131" s="95"/>
      <c r="M131" s="82">
        <f t="shared" si="13"/>
        <v>0.57630000000000003</v>
      </c>
      <c r="N131" s="82">
        <v>0.26</v>
      </c>
      <c r="O131" s="82">
        <f t="shared" si="14"/>
        <v>0.58630000000000004</v>
      </c>
      <c r="P131" s="82">
        <v>0.32800000000000001</v>
      </c>
      <c r="Q131" s="82">
        <v>0.68899999999999995</v>
      </c>
      <c r="R131" s="82">
        <v>0.56499999999999995</v>
      </c>
      <c r="S131" s="82">
        <v>0.57499999999999996</v>
      </c>
    </row>
    <row r="132" spans="1:19">
      <c r="A132" s="19">
        <f t="shared" si="16"/>
        <v>41455</v>
      </c>
      <c r="B132" s="19">
        <f t="shared" si="15"/>
        <v>41819</v>
      </c>
      <c r="C132" s="86">
        <f t="shared" si="17"/>
        <v>0.2535</v>
      </c>
      <c r="D132" s="86">
        <f t="shared" si="18"/>
        <v>0.2737</v>
      </c>
      <c r="E132" s="86">
        <f t="shared" si="12"/>
        <v>6.5699999999999995E-2</v>
      </c>
      <c r="F132" s="86">
        <f t="shared" ref="F132:F195" si="19">AVERAGE(J132:J143)</f>
        <v>2.7699999999999999E-2</v>
      </c>
      <c r="G132" s="87">
        <v>0.23599999999999999</v>
      </c>
      <c r="H132" s="87">
        <v>0.27200000000000002</v>
      </c>
      <c r="I132" s="87">
        <v>6.4000000000000001E-2</v>
      </c>
      <c r="J132" s="87">
        <v>2.5999999999999999E-2</v>
      </c>
      <c r="K132" s="25">
        <f>((2/3)*L122)+((10/3)*L134)</f>
        <v>14329</v>
      </c>
      <c r="L132" s="95"/>
      <c r="M132" s="82">
        <f t="shared" si="13"/>
        <v>0.57750000000000001</v>
      </c>
      <c r="N132" s="82">
        <v>0.26</v>
      </c>
      <c r="O132" s="82">
        <f t="shared" si="14"/>
        <v>0.58750000000000002</v>
      </c>
      <c r="P132" s="82">
        <v>0.32800000000000001</v>
      </c>
      <c r="Q132" s="82">
        <v>0.68899999999999995</v>
      </c>
      <c r="R132" s="82">
        <v>0.56499999999999995</v>
      </c>
      <c r="S132" s="82">
        <v>0.57499999999999996</v>
      </c>
    </row>
    <row r="133" spans="1:19">
      <c r="A133" s="19">
        <f t="shared" si="16"/>
        <v>41486</v>
      </c>
      <c r="B133" s="19">
        <f t="shared" si="15"/>
        <v>41850</v>
      </c>
      <c r="C133" s="83">
        <f t="shared" si="17"/>
        <v>0.25530000000000003</v>
      </c>
      <c r="D133" s="83">
        <f t="shared" si="18"/>
        <v>0.27379999999999999</v>
      </c>
      <c r="E133" s="83">
        <f t="shared" si="12"/>
        <v>6.5799999999999997E-2</v>
      </c>
      <c r="F133" s="83">
        <f t="shared" si="19"/>
        <v>2.7799999999999998E-2</v>
      </c>
      <c r="G133" s="87">
        <v>0.23599999999999999</v>
      </c>
      <c r="H133" s="87">
        <v>0.27200000000000002</v>
      </c>
      <c r="I133" s="87">
        <v>6.4000000000000001E-2</v>
      </c>
      <c r="J133" s="87">
        <v>2.5999999999999999E-2</v>
      </c>
      <c r="K133" s="25">
        <f>((1/3)*L122)+((11/3)*L134)</f>
        <v>14370</v>
      </c>
      <c r="L133" s="95"/>
      <c r="M133" s="82">
        <f t="shared" si="13"/>
        <v>0.57879999999999998</v>
      </c>
      <c r="N133" s="82">
        <v>0.26</v>
      </c>
      <c r="O133" s="82">
        <f t="shared" si="14"/>
        <v>0.58879999999999999</v>
      </c>
      <c r="P133" s="82">
        <v>0.32800000000000001</v>
      </c>
      <c r="Q133" s="82">
        <v>0.68899999999999995</v>
      </c>
      <c r="R133" s="82">
        <v>0.56499999999999995</v>
      </c>
      <c r="S133" s="82">
        <v>0.57499999999999996</v>
      </c>
    </row>
    <row r="134" spans="1:19" s="80" customFormat="1">
      <c r="A134" s="79">
        <f t="shared" si="16"/>
        <v>41517</v>
      </c>
      <c r="B134" s="79">
        <f t="shared" si="15"/>
        <v>41881</v>
      </c>
      <c r="C134" s="88">
        <f t="shared" si="17"/>
        <v>0.25700000000000001</v>
      </c>
      <c r="D134" s="88">
        <f t="shared" si="18"/>
        <v>0.27400000000000002</v>
      </c>
      <c r="E134" s="88">
        <f t="shared" si="12"/>
        <v>6.6000000000000003E-2</v>
      </c>
      <c r="F134" s="88">
        <f t="shared" si="19"/>
        <v>2.8000000000000001E-2</v>
      </c>
      <c r="G134" s="89">
        <v>0.25700000000000001</v>
      </c>
      <c r="H134" s="89">
        <v>0.27400000000000002</v>
      </c>
      <c r="I134" s="89">
        <v>6.6000000000000003E-2</v>
      </c>
      <c r="J134" s="89">
        <v>2.8000000000000001E-2</v>
      </c>
      <c r="K134" s="78">
        <f>(L134*4)</f>
        <v>14412</v>
      </c>
      <c r="L134" s="96">
        <v>3603</v>
      </c>
      <c r="M134" s="355">
        <f t="shared" si="13"/>
        <v>0.57999999999999996</v>
      </c>
      <c r="N134" s="355">
        <v>0.26</v>
      </c>
      <c r="O134" s="355">
        <f t="shared" si="14"/>
        <v>0.59</v>
      </c>
      <c r="P134" s="355">
        <v>0.32800000000000001</v>
      </c>
      <c r="Q134" s="355">
        <v>0.68899999999999995</v>
      </c>
      <c r="R134" s="355">
        <v>0.57999999999999996</v>
      </c>
      <c r="S134" s="355">
        <v>0.59</v>
      </c>
    </row>
    <row r="135" spans="1:19" s="80" customFormat="1">
      <c r="A135" s="79">
        <f t="shared" si="16"/>
        <v>41547</v>
      </c>
      <c r="B135" s="79">
        <f t="shared" si="15"/>
        <v>41911</v>
      </c>
      <c r="C135" s="88">
        <f t="shared" si="17"/>
        <v>0.25740000000000002</v>
      </c>
      <c r="D135" s="88">
        <f t="shared" si="18"/>
        <v>0.2747</v>
      </c>
      <c r="E135" s="88">
        <f t="shared" si="12"/>
        <v>6.5799999999999997E-2</v>
      </c>
      <c r="F135" s="88">
        <f t="shared" si="19"/>
        <v>2.7799999999999998E-2</v>
      </c>
      <c r="G135" s="89">
        <v>0.25700000000000001</v>
      </c>
      <c r="H135" s="89">
        <v>0.27400000000000002</v>
      </c>
      <c r="I135" s="89">
        <v>6.6000000000000003E-2</v>
      </c>
      <c r="J135" s="89">
        <v>2.8000000000000001E-2</v>
      </c>
      <c r="K135" s="78">
        <f>((11/3)*L134)+((1/3)*L146)</f>
        <v>14455</v>
      </c>
      <c r="L135" s="96"/>
      <c r="M135" s="355">
        <f t="shared" si="13"/>
        <v>0.57999999999999996</v>
      </c>
      <c r="N135" s="355">
        <v>0.26</v>
      </c>
      <c r="O135" s="355">
        <f t="shared" si="14"/>
        <v>0.59</v>
      </c>
      <c r="P135" s="355">
        <v>0.32800000000000001</v>
      </c>
      <c r="Q135" s="355">
        <v>0.68899999999999995</v>
      </c>
      <c r="R135" s="355">
        <v>0.57999999999999996</v>
      </c>
      <c r="S135" s="355">
        <v>0.59</v>
      </c>
    </row>
    <row r="136" spans="1:19" s="80" customFormat="1">
      <c r="A136" s="79">
        <f t="shared" si="16"/>
        <v>41578</v>
      </c>
      <c r="B136" s="79">
        <f t="shared" si="15"/>
        <v>41942</v>
      </c>
      <c r="C136" s="88">
        <f t="shared" si="17"/>
        <v>0.25779999999999997</v>
      </c>
      <c r="D136" s="88">
        <f t="shared" si="18"/>
        <v>0.27529999999999999</v>
      </c>
      <c r="E136" s="88">
        <f t="shared" si="12"/>
        <v>6.5699999999999995E-2</v>
      </c>
      <c r="F136" s="88">
        <f t="shared" si="19"/>
        <v>2.7699999999999999E-2</v>
      </c>
      <c r="G136" s="89">
        <v>0.25700000000000001</v>
      </c>
      <c r="H136" s="89">
        <v>0.27400000000000002</v>
      </c>
      <c r="I136" s="89">
        <v>6.6000000000000003E-2</v>
      </c>
      <c r="J136" s="89">
        <v>2.8000000000000001E-2</v>
      </c>
      <c r="K136" s="78">
        <f>((10/3)*L134)+((2/3)*L146)</f>
        <v>14499</v>
      </c>
      <c r="L136" s="96"/>
      <c r="M136" s="355">
        <f t="shared" si="13"/>
        <v>0.57999999999999996</v>
      </c>
      <c r="N136" s="355">
        <v>0.26</v>
      </c>
      <c r="O136" s="355">
        <f t="shared" si="14"/>
        <v>0.59</v>
      </c>
      <c r="P136" s="355">
        <v>0.32800000000000001</v>
      </c>
      <c r="Q136" s="355">
        <v>0.68899999999999995</v>
      </c>
      <c r="R136" s="355">
        <v>0.57999999999999996</v>
      </c>
      <c r="S136" s="355">
        <v>0.59</v>
      </c>
    </row>
    <row r="137" spans="1:19" s="80" customFormat="1">
      <c r="A137" s="79">
        <f t="shared" si="16"/>
        <v>41608</v>
      </c>
      <c r="B137" s="79">
        <f t="shared" si="15"/>
        <v>41972</v>
      </c>
      <c r="C137" s="88">
        <f t="shared" si="17"/>
        <v>0.25829999999999997</v>
      </c>
      <c r="D137" s="88">
        <f t="shared" si="18"/>
        <v>0.27600000000000002</v>
      </c>
      <c r="E137" s="88">
        <f t="shared" si="12"/>
        <v>6.5500000000000003E-2</v>
      </c>
      <c r="F137" s="88">
        <f t="shared" si="19"/>
        <v>2.75E-2</v>
      </c>
      <c r="G137" s="89">
        <v>0.25700000000000001</v>
      </c>
      <c r="H137" s="89">
        <v>0.27400000000000002</v>
      </c>
      <c r="I137" s="89">
        <v>6.6000000000000003E-2</v>
      </c>
      <c r="J137" s="89">
        <v>2.8000000000000001E-2</v>
      </c>
      <c r="K137" s="78">
        <f>((9/3)*L134)+((3/3)*L146)</f>
        <v>14542</v>
      </c>
      <c r="L137" s="96"/>
      <c r="M137" s="355">
        <f t="shared" si="13"/>
        <v>0.57999999999999996</v>
      </c>
      <c r="N137" s="355">
        <v>0.26</v>
      </c>
      <c r="O137" s="355">
        <f t="shared" si="14"/>
        <v>0.59</v>
      </c>
      <c r="P137" s="355">
        <v>0.32800000000000001</v>
      </c>
      <c r="Q137" s="355">
        <v>0.68899999999999995</v>
      </c>
      <c r="R137" s="355">
        <v>0.57999999999999996</v>
      </c>
      <c r="S137" s="355">
        <v>0.59</v>
      </c>
    </row>
    <row r="138" spans="1:19" s="80" customFormat="1">
      <c r="A138" s="79">
        <f t="shared" si="16"/>
        <v>41639</v>
      </c>
      <c r="B138" s="79">
        <f t="shared" si="15"/>
        <v>42003</v>
      </c>
      <c r="C138" s="88">
        <f t="shared" si="17"/>
        <v>0.25869999999999999</v>
      </c>
      <c r="D138" s="88">
        <f t="shared" si="18"/>
        <v>0.2767</v>
      </c>
      <c r="E138" s="88">
        <f t="shared" si="12"/>
        <v>6.5299999999999997E-2</v>
      </c>
      <c r="F138" s="88">
        <f t="shared" si="19"/>
        <v>2.7300000000000001E-2</v>
      </c>
      <c r="G138" s="89">
        <v>0.25700000000000001</v>
      </c>
      <c r="H138" s="89">
        <v>0.27400000000000002</v>
      </c>
      <c r="I138" s="89">
        <v>6.6000000000000003E-2</v>
      </c>
      <c r="J138" s="89">
        <v>2.8000000000000001E-2</v>
      </c>
      <c r="K138" s="78">
        <f>((8/3)*L134)+((4/3)*L146)</f>
        <v>14585</v>
      </c>
      <c r="L138" s="96"/>
      <c r="M138" s="355">
        <f t="shared" si="13"/>
        <v>0.57999999999999996</v>
      </c>
      <c r="N138" s="355">
        <v>0.26</v>
      </c>
      <c r="O138" s="355">
        <f t="shared" si="14"/>
        <v>0.59</v>
      </c>
      <c r="P138" s="355">
        <v>0.32800000000000001</v>
      </c>
      <c r="Q138" s="355">
        <v>0.68899999999999995</v>
      </c>
      <c r="R138" s="355">
        <v>0.57999999999999996</v>
      </c>
      <c r="S138" s="355">
        <v>0.59</v>
      </c>
    </row>
    <row r="139" spans="1:19" s="80" customFormat="1">
      <c r="A139" s="79">
        <f t="shared" si="16"/>
        <v>41670</v>
      </c>
      <c r="B139" s="79">
        <f t="shared" si="15"/>
        <v>42034</v>
      </c>
      <c r="C139" s="88">
        <f t="shared" si="17"/>
        <v>0.2591</v>
      </c>
      <c r="D139" s="88">
        <f t="shared" si="18"/>
        <v>0.27729999999999999</v>
      </c>
      <c r="E139" s="88">
        <f t="shared" si="12"/>
        <v>6.5199999999999994E-2</v>
      </c>
      <c r="F139" s="88">
        <f t="shared" si="19"/>
        <v>2.7199999999999998E-2</v>
      </c>
      <c r="G139" s="89">
        <v>0.25700000000000001</v>
      </c>
      <c r="H139" s="89">
        <v>0.27400000000000002</v>
      </c>
      <c r="I139" s="89">
        <v>6.6000000000000003E-2</v>
      </c>
      <c r="J139" s="89">
        <v>2.8000000000000001E-2</v>
      </c>
      <c r="K139" s="78">
        <f>((7/3)*L134)+((5/3)*L146)</f>
        <v>14629</v>
      </c>
      <c r="L139" s="96"/>
      <c r="M139" s="355">
        <f t="shared" si="13"/>
        <v>0.57999999999999996</v>
      </c>
      <c r="N139" s="355">
        <v>0.26</v>
      </c>
      <c r="O139" s="355">
        <f t="shared" si="14"/>
        <v>0.59</v>
      </c>
      <c r="P139" s="355">
        <v>0.32800000000000001</v>
      </c>
      <c r="Q139" s="355">
        <v>0.68899999999999995</v>
      </c>
      <c r="R139" s="355">
        <v>0.57999999999999996</v>
      </c>
      <c r="S139" s="355">
        <v>0.59</v>
      </c>
    </row>
    <row r="140" spans="1:19" s="80" customFormat="1">
      <c r="A140" s="79">
        <f t="shared" si="16"/>
        <v>41698</v>
      </c>
      <c r="B140" s="79">
        <f t="shared" si="15"/>
        <v>42062</v>
      </c>
      <c r="C140" s="88">
        <f t="shared" si="17"/>
        <v>0.25950000000000001</v>
      </c>
      <c r="D140" s="88">
        <f t="shared" si="18"/>
        <v>0.27800000000000002</v>
      </c>
      <c r="E140" s="88">
        <f t="shared" si="12"/>
        <v>6.5000000000000002E-2</v>
      </c>
      <c r="F140" s="88">
        <f t="shared" si="19"/>
        <v>2.7E-2</v>
      </c>
      <c r="G140" s="89">
        <v>0.25700000000000001</v>
      </c>
      <c r="H140" s="89">
        <v>0.27400000000000002</v>
      </c>
      <c r="I140" s="89">
        <v>6.6000000000000003E-2</v>
      </c>
      <c r="J140" s="89">
        <v>2.8000000000000001E-2</v>
      </c>
      <c r="K140" s="78">
        <f>((6/3)*L134)+((6/3)*L146)</f>
        <v>14672</v>
      </c>
      <c r="L140" s="96"/>
      <c r="M140" s="355">
        <f t="shared" si="13"/>
        <v>0.57999999999999996</v>
      </c>
      <c r="N140" s="355">
        <v>0.26</v>
      </c>
      <c r="O140" s="355">
        <f t="shared" si="14"/>
        <v>0.59</v>
      </c>
      <c r="P140" s="355">
        <v>0.32800000000000001</v>
      </c>
      <c r="Q140" s="355">
        <v>0.68899999999999995</v>
      </c>
      <c r="R140" s="355">
        <v>0.57999999999999996</v>
      </c>
      <c r="S140" s="355">
        <v>0.59</v>
      </c>
    </row>
    <row r="141" spans="1:19" s="80" customFormat="1">
      <c r="A141" s="79">
        <f t="shared" si="16"/>
        <v>41729</v>
      </c>
      <c r="B141" s="79">
        <f t="shared" si="15"/>
        <v>42093</v>
      </c>
      <c r="C141" s="88">
        <f t="shared" si="17"/>
        <v>0.25990000000000002</v>
      </c>
      <c r="D141" s="88">
        <f t="shared" si="18"/>
        <v>0.2787</v>
      </c>
      <c r="E141" s="88">
        <f t="shared" si="12"/>
        <v>6.4799999999999996E-2</v>
      </c>
      <c r="F141" s="88">
        <f t="shared" si="19"/>
        <v>2.6800000000000001E-2</v>
      </c>
      <c r="G141" s="89">
        <v>0.25700000000000001</v>
      </c>
      <c r="H141" s="89">
        <v>0.27400000000000002</v>
      </c>
      <c r="I141" s="89">
        <v>6.6000000000000003E-2</v>
      </c>
      <c r="J141" s="89">
        <v>2.8000000000000001E-2</v>
      </c>
      <c r="K141" s="78">
        <f>((5/3)*L134)+((7/3)*L146)</f>
        <v>14715</v>
      </c>
      <c r="L141" s="96"/>
      <c r="M141" s="355">
        <f t="shared" si="13"/>
        <v>0.57999999999999996</v>
      </c>
      <c r="N141" s="355">
        <v>0.26</v>
      </c>
      <c r="O141" s="355">
        <f t="shared" si="14"/>
        <v>0.59</v>
      </c>
      <c r="P141" s="355">
        <v>0.32800000000000001</v>
      </c>
      <c r="Q141" s="355">
        <v>0.68899999999999995</v>
      </c>
      <c r="R141" s="355">
        <v>0.57999999999999996</v>
      </c>
      <c r="S141" s="355">
        <v>0.59</v>
      </c>
    </row>
    <row r="142" spans="1:19" s="80" customFormat="1">
      <c r="A142" s="79">
        <f t="shared" si="16"/>
        <v>41759</v>
      </c>
      <c r="B142" s="79">
        <f t="shared" si="15"/>
        <v>42123</v>
      </c>
      <c r="C142" s="88">
        <f t="shared" si="17"/>
        <v>0.26029999999999998</v>
      </c>
      <c r="D142" s="88">
        <f t="shared" si="18"/>
        <v>0.27929999999999999</v>
      </c>
      <c r="E142" s="88">
        <f t="shared" si="12"/>
        <v>6.4699999999999994E-2</v>
      </c>
      <c r="F142" s="88">
        <f t="shared" si="19"/>
        <v>2.6700000000000002E-2</v>
      </c>
      <c r="G142" s="89">
        <v>0.25700000000000001</v>
      </c>
      <c r="H142" s="89">
        <v>0.27400000000000002</v>
      </c>
      <c r="I142" s="89">
        <v>6.6000000000000003E-2</v>
      </c>
      <c r="J142" s="89">
        <v>2.8000000000000001E-2</v>
      </c>
      <c r="K142" s="78">
        <f>((4/3)*L134)+((8/3)*L146)</f>
        <v>14759</v>
      </c>
      <c r="L142" s="96"/>
      <c r="M142" s="355">
        <f t="shared" si="13"/>
        <v>0.57999999999999996</v>
      </c>
      <c r="N142" s="355">
        <v>0.26</v>
      </c>
      <c r="O142" s="355">
        <f t="shared" si="14"/>
        <v>0.59</v>
      </c>
      <c r="P142" s="355">
        <v>0.32800000000000001</v>
      </c>
      <c r="Q142" s="355">
        <v>0.68899999999999995</v>
      </c>
      <c r="R142" s="355">
        <v>0.57999999999999996</v>
      </c>
      <c r="S142" s="355">
        <v>0.59</v>
      </c>
    </row>
    <row r="143" spans="1:19" s="80" customFormat="1">
      <c r="A143" s="79">
        <f t="shared" si="16"/>
        <v>41790</v>
      </c>
      <c r="B143" s="79">
        <f t="shared" si="15"/>
        <v>42154</v>
      </c>
      <c r="C143" s="88">
        <f t="shared" si="17"/>
        <v>0.26079999999999998</v>
      </c>
      <c r="D143" s="88">
        <f t="shared" si="18"/>
        <v>0.28000000000000003</v>
      </c>
      <c r="E143" s="88">
        <f t="shared" si="12"/>
        <v>6.4500000000000002E-2</v>
      </c>
      <c r="F143" s="88">
        <f t="shared" si="19"/>
        <v>2.6499999999999999E-2</v>
      </c>
      <c r="G143" s="89">
        <v>0.25700000000000001</v>
      </c>
      <c r="H143" s="89">
        <v>0.27400000000000002</v>
      </c>
      <c r="I143" s="89">
        <v>6.6000000000000003E-2</v>
      </c>
      <c r="J143" s="89">
        <v>2.8000000000000001E-2</v>
      </c>
      <c r="K143" s="78">
        <f>((3/3)*L134)+((9/3)*L146)</f>
        <v>14802</v>
      </c>
      <c r="L143" s="96"/>
      <c r="M143" s="355">
        <f t="shared" si="13"/>
        <v>0.57999999999999996</v>
      </c>
      <c r="N143" s="355">
        <v>0.26</v>
      </c>
      <c r="O143" s="355">
        <f t="shared" si="14"/>
        <v>0.59</v>
      </c>
      <c r="P143" s="355">
        <v>0.32800000000000001</v>
      </c>
      <c r="Q143" s="355">
        <v>0.68899999999999995</v>
      </c>
      <c r="R143" s="355">
        <v>0.57999999999999996</v>
      </c>
      <c r="S143" s="355">
        <v>0.59</v>
      </c>
    </row>
    <row r="144" spans="1:19" s="80" customFormat="1">
      <c r="A144" s="79">
        <f t="shared" si="16"/>
        <v>41820</v>
      </c>
      <c r="B144" s="79">
        <f t="shared" si="15"/>
        <v>42184</v>
      </c>
      <c r="C144" s="88">
        <f t="shared" si="17"/>
        <v>0.26119999999999999</v>
      </c>
      <c r="D144" s="88">
        <f t="shared" si="18"/>
        <v>0.28070000000000001</v>
      </c>
      <c r="E144" s="88">
        <f t="shared" si="12"/>
        <v>6.4299999999999996E-2</v>
      </c>
      <c r="F144" s="88">
        <f t="shared" si="19"/>
        <v>2.63E-2</v>
      </c>
      <c r="G144" s="89">
        <v>0.25700000000000001</v>
      </c>
      <c r="H144" s="89">
        <v>0.27400000000000002</v>
      </c>
      <c r="I144" s="89">
        <v>6.6000000000000003E-2</v>
      </c>
      <c r="J144" s="89">
        <v>2.8000000000000001E-2</v>
      </c>
      <c r="K144" s="78">
        <f>((2/3)*L134)+((10/3)*L146)</f>
        <v>14845</v>
      </c>
      <c r="L144" s="96"/>
      <c r="M144" s="355">
        <f t="shared" si="13"/>
        <v>0.57999999999999996</v>
      </c>
      <c r="N144" s="355">
        <v>0.26</v>
      </c>
      <c r="O144" s="355">
        <f t="shared" si="14"/>
        <v>0.59</v>
      </c>
      <c r="P144" s="355">
        <v>0.32800000000000001</v>
      </c>
      <c r="Q144" s="355">
        <v>0.68899999999999995</v>
      </c>
      <c r="R144" s="355">
        <v>0.57999999999999996</v>
      </c>
      <c r="S144" s="355">
        <v>0.59</v>
      </c>
    </row>
    <row r="145" spans="1:19" s="80" customFormat="1">
      <c r="A145" s="79">
        <f t="shared" si="16"/>
        <v>41851</v>
      </c>
      <c r="B145" s="79">
        <f t="shared" si="15"/>
        <v>42215</v>
      </c>
      <c r="C145" s="88">
        <f t="shared" si="17"/>
        <v>0.2616</v>
      </c>
      <c r="D145" s="88">
        <f t="shared" si="18"/>
        <v>0.28129999999999999</v>
      </c>
      <c r="E145" s="88">
        <f t="shared" si="12"/>
        <v>6.4199999999999993E-2</v>
      </c>
      <c r="F145" s="88">
        <f t="shared" si="19"/>
        <v>2.6200000000000001E-2</v>
      </c>
      <c r="G145" s="89">
        <v>0.25700000000000001</v>
      </c>
      <c r="H145" s="89">
        <v>0.27400000000000002</v>
      </c>
      <c r="I145" s="89">
        <v>6.6000000000000003E-2</v>
      </c>
      <c r="J145" s="89">
        <v>2.8000000000000001E-2</v>
      </c>
      <c r="K145" s="78">
        <f>((1/3)*L134)+((11/3)*L146)</f>
        <v>14889</v>
      </c>
      <c r="L145" s="96"/>
      <c r="M145" s="355">
        <f t="shared" si="13"/>
        <v>0.57999999999999996</v>
      </c>
      <c r="N145" s="355">
        <v>0.26</v>
      </c>
      <c r="O145" s="355">
        <f t="shared" si="14"/>
        <v>0.59</v>
      </c>
      <c r="P145" s="355">
        <v>0.32800000000000001</v>
      </c>
      <c r="Q145" s="355">
        <v>0.68899999999999995</v>
      </c>
      <c r="R145" s="355">
        <v>0.57999999999999996</v>
      </c>
      <c r="S145" s="355">
        <v>0.59</v>
      </c>
    </row>
    <row r="146" spans="1:19">
      <c r="A146" s="19">
        <f t="shared" si="16"/>
        <v>41882</v>
      </c>
      <c r="B146" s="19">
        <f t="shared" si="15"/>
        <v>42246</v>
      </c>
      <c r="C146" s="86">
        <f t="shared" si="17"/>
        <v>0.26200000000000001</v>
      </c>
      <c r="D146" s="86">
        <f t="shared" si="18"/>
        <v>0.28199999999999997</v>
      </c>
      <c r="E146" s="86">
        <f t="shared" si="12"/>
        <v>6.4000000000000001E-2</v>
      </c>
      <c r="F146" s="86">
        <f t="shared" si="19"/>
        <v>2.5999999999999999E-2</v>
      </c>
      <c r="G146" s="87">
        <v>0.26200000000000001</v>
      </c>
      <c r="H146" s="87">
        <v>0.28199999999999997</v>
      </c>
      <c r="I146" s="87">
        <v>6.4000000000000001E-2</v>
      </c>
      <c r="J146" s="87">
        <v>2.5999999999999999E-2</v>
      </c>
      <c r="K146" s="25">
        <f>(L146*4)</f>
        <v>14932</v>
      </c>
      <c r="L146" s="95">
        <v>3733</v>
      </c>
      <c r="M146" s="82">
        <f t="shared" si="13"/>
        <v>0.57999999999999996</v>
      </c>
      <c r="N146" s="82">
        <v>0.26</v>
      </c>
      <c r="O146" s="82">
        <f t="shared" si="14"/>
        <v>0.59</v>
      </c>
      <c r="P146" s="82">
        <v>0.32800000000000001</v>
      </c>
      <c r="Q146" s="82">
        <v>0.68899999999999995</v>
      </c>
      <c r="R146" s="82">
        <v>0.57999999999999996</v>
      </c>
      <c r="S146" s="82">
        <v>0.59</v>
      </c>
    </row>
    <row r="147" spans="1:19">
      <c r="A147" s="19">
        <f t="shared" si="16"/>
        <v>41912</v>
      </c>
      <c r="B147" s="19">
        <f t="shared" si="15"/>
        <v>42276</v>
      </c>
      <c r="C147" s="86">
        <f t="shared" si="17"/>
        <v>0.26250000000000001</v>
      </c>
      <c r="D147" s="86">
        <f t="shared" si="18"/>
        <v>0.2823</v>
      </c>
      <c r="E147" s="86">
        <f t="shared" ref="E147:F196" si="20">AVERAGE(I147:I158)</f>
        <v>6.4199999999999993E-2</v>
      </c>
      <c r="F147" s="86">
        <f t="shared" si="19"/>
        <v>2.5999999999999999E-2</v>
      </c>
      <c r="G147" s="87">
        <v>0.26200000000000001</v>
      </c>
      <c r="H147" s="87">
        <v>0.28199999999999997</v>
      </c>
      <c r="I147" s="87">
        <v>6.4000000000000001E-2</v>
      </c>
      <c r="J147" s="87">
        <v>2.5999999999999999E-2</v>
      </c>
      <c r="K147" s="25">
        <f>((11/3)*L146)+((1/3)*L158)</f>
        <v>14977</v>
      </c>
      <c r="L147" s="95"/>
      <c r="M147" s="82">
        <f t="shared" si="13"/>
        <v>0.57999999999999996</v>
      </c>
      <c r="N147" s="82">
        <v>0.26</v>
      </c>
      <c r="O147" s="82">
        <f t="shared" si="14"/>
        <v>0.59</v>
      </c>
      <c r="P147" s="82">
        <v>0.32800000000000001</v>
      </c>
      <c r="Q147" s="82">
        <v>0.68899999999999995</v>
      </c>
      <c r="R147" s="82">
        <v>0.57999999999999996</v>
      </c>
      <c r="S147" s="82">
        <v>0.59</v>
      </c>
    </row>
    <row r="148" spans="1:19">
      <c r="A148" s="19">
        <f t="shared" si="16"/>
        <v>41943</v>
      </c>
      <c r="B148" s="19">
        <f t="shared" si="15"/>
        <v>42307</v>
      </c>
      <c r="C148" s="86">
        <f t="shared" si="17"/>
        <v>0.26300000000000001</v>
      </c>
      <c r="D148" s="86">
        <f t="shared" si="18"/>
        <v>0.28270000000000001</v>
      </c>
      <c r="E148" s="86">
        <f t="shared" si="20"/>
        <v>6.4299999999999996E-2</v>
      </c>
      <c r="F148" s="86">
        <f t="shared" si="19"/>
        <v>2.5999999999999999E-2</v>
      </c>
      <c r="G148" s="87">
        <v>0.26200000000000001</v>
      </c>
      <c r="H148" s="87">
        <v>0.28199999999999997</v>
      </c>
      <c r="I148" s="87">
        <v>6.4000000000000001E-2</v>
      </c>
      <c r="J148" s="87">
        <v>2.5999999999999999E-2</v>
      </c>
      <c r="K148" s="25">
        <f>((10/3)*L146)+((2/3)*L158)</f>
        <v>15021</v>
      </c>
      <c r="L148" s="95"/>
      <c r="M148" s="82">
        <f t="shared" si="13"/>
        <v>0.57999999999999996</v>
      </c>
      <c r="N148" s="82">
        <v>0.26</v>
      </c>
      <c r="O148" s="82">
        <f t="shared" si="14"/>
        <v>0.59</v>
      </c>
      <c r="P148" s="82">
        <v>0.32800000000000001</v>
      </c>
      <c r="Q148" s="82">
        <v>0.68899999999999995</v>
      </c>
      <c r="R148" s="82">
        <v>0.57999999999999996</v>
      </c>
      <c r="S148" s="82">
        <v>0.59</v>
      </c>
    </row>
    <row r="149" spans="1:19">
      <c r="A149" s="19">
        <f t="shared" si="16"/>
        <v>41973</v>
      </c>
      <c r="B149" s="19">
        <f t="shared" si="15"/>
        <v>42337</v>
      </c>
      <c r="C149" s="86">
        <f t="shared" si="17"/>
        <v>0.26350000000000001</v>
      </c>
      <c r="D149" s="86">
        <f t="shared" si="18"/>
        <v>0.28299999999999997</v>
      </c>
      <c r="E149" s="86">
        <f t="shared" si="20"/>
        <v>6.4500000000000002E-2</v>
      </c>
      <c r="F149" s="86">
        <f t="shared" si="19"/>
        <v>2.5999999999999999E-2</v>
      </c>
      <c r="G149" s="87">
        <v>0.26200000000000001</v>
      </c>
      <c r="H149" s="87">
        <v>0.28199999999999997</v>
      </c>
      <c r="I149" s="87">
        <v>6.4000000000000001E-2</v>
      </c>
      <c r="J149" s="87">
        <v>2.5999999999999999E-2</v>
      </c>
      <c r="K149" s="25">
        <f>((9/3)*L146)+((3/3)*L158)</f>
        <v>15066</v>
      </c>
      <c r="L149" s="95"/>
      <c r="M149" s="82">
        <f t="shared" si="13"/>
        <v>0.57999999999999996</v>
      </c>
      <c r="N149" s="82">
        <v>0.26</v>
      </c>
      <c r="O149" s="82">
        <f t="shared" si="14"/>
        <v>0.59</v>
      </c>
      <c r="P149" s="82">
        <v>0.32800000000000001</v>
      </c>
      <c r="Q149" s="82">
        <v>0.68899999999999995</v>
      </c>
      <c r="R149" s="82">
        <v>0.57999999999999996</v>
      </c>
      <c r="S149" s="82">
        <v>0.59</v>
      </c>
    </row>
    <row r="150" spans="1:19">
      <c r="A150" s="19">
        <f t="shared" si="16"/>
        <v>42004</v>
      </c>
      <c r="B150" s="19">
        <f t="shared" si="15"/>
        <v>42368</v>
      </c>
      <c r="C150" s="86">
        <f t="shared" si="17"/>
        <v>0.26400000000000001</v>
      </c>
      <c r="D150" s="86">
        <f t="shared" si="18"/>
        <v>0.2833</v>
      </c>
      <c r="E150" s="86">
        <f t="shared" si="20"/>
        <v>6.4699999999999994E-2</v>
      </c>
      <c r="F150" s="86">
        <f t="shared" si="19"/>
        <v>2.5999999999999999E-2</v>
      </c>
      <c r="G150" s="87">
        <v>0.26200000000000001</v>
      </c>
      <c r="H150" s="87">
        <v>0.28199999999999997</v>
      </c>
      <c r="I150" s="87">
        <v>6.4000000000000001E-2</v>
      </c>
      <c r="J150" s="87">
        <v>2.5999999999999999E-2</v>
      </c>
      <c r="K150" s="25">
        <f>((8/3)*L146)+((4/3)*L158)</f>
        <v>15111</v>
      </c>
      <c r="L150" s="95"/>
      <c r="M150" s="82">
        <f t="shared" si="13"/>
        <v>0.57999999999999996</v>
      </c>
      <c r="N150" s="82">
        <v>0.26</v>
      </c>
      <c r="O150" s="82">
        <f t="shared" si="14"/>
        <v>0.59</v>
      </c>
      <c r="P150" s="82">
        <v>0.32800000000000001</v>
      </c>
      <c r="Q150" s="82">
        <v>0.68899999999999995</v>
      </c>
      <c r="R150" s="82">
        <v>0.57999999999999996</v>
      </c>
      <c r="S150" s="82">
        <v>0.59</v>
      </c>
    </row>
    <row r="151" spans="1:19">
      <c r="A151" s="19">
        <f t="shared" si="16"/>
        <v>42035</v>
      </c>
      <c r="B151" s="19">
        <f t="shared" si="15"/>
        <v>42399</v>
      </c>
      <c r="C151" s="86">
        <f t="shared" si="17"/>
        <v>0.26450000000000001</v>
      </c>
      <c r="D151" s="86">
        <f t="shared" si="18"/>
        <v>0.28370000000000001</v>
      </c>
      <c r="E151" s="86">
        <f t="shared" si="20"/>
        <v>6.4799999999999996E-2</v>
      </c>
      <c r="F151" s="86">
        <f t="shared" si="19"/>
        <v>2.5999999999999999E-2</v>
      </c>
      <c r="G151" s="87">
        <v>0.26200000000000001</v>
      </c>
      <c r="H151" s="87">
        <v>0.28199999999999997</v>
      </c>
      <c r="I151" s="87">
        <v>6.4000000000000001E-2</v>
      </c>
      <c r="J151" s="87">
        <v>2.5999999999999999E-2</v>
      </c>
      <c r="K151" s="25">
        <f>((7/3)*L146)+((5/3)*L158)</f>
        <v>15155</v>
      </c>
      <c r="L151" s="95"/>
      <c r="M151" s="82">
        <f t="shared" si="13"/>
        <v>0.57999999999999996</v>
      </c>
      <c r="N151" s="82">
        <v>0.26</v>
      </c>
      <c r="O151" s="82">
        <f t="shared" si="14"/>
        <v>0.59</v>
      </c>
      <c r="P151" s="82">
        <v>0.32800000000000001</v>
      </c>
      <c r="Q151" s="82">
        <v>0.68899999999999995</v>
      </c>
      <c r="R151" s="82">
        <v>0.57999999999999996</v>
      </c>
      <c r="S151" s="82">
        <v>0.59</v>
      </c>
    </row>
    <row r="152" spans="1:19">
      <c r="A152" s="19">
        <f t="shared" si="16"/>
        <v>42063</v>
      </c>
      <c r="B152" s="19">
        <f t="shared" si="15"/>
        <v>42428</v>
      </c>
      <c r="C152" s="86">
        <f t="shared" si="17"/>
        <v>0.26500000000000001</v>
      </c>
      <c r="D152" s="86">
        <f t="shared" si="18"/>
        <v>0.28399999999999997</v>
      </c>
      <c r="E152" s="86">
        <f t="shared" si="20"/>
        <v>6.5000000000000002E-2</v>
      </c>
      <c r="F152" s="86">
        <f t="shared" si="19"/>
        <v>2.5999999999999999E-2</v>
      </c>
      <c r="G152" s="87">
        <v>0.26200000000000001</v>
      </c>
      <c r="H152" s="87">
        <v>0.28199999999999997</v>
      </c>
      <c r="I152" s="87">
        <v>6.4000000000000001E-2</v>
      </c>
      <c r="J152" s="87">
        <v>2.5999999999999999E-2</v>
      </c>
      <c r="K152" s="25">
        <f>((6/3)*L146)+((6/3)*L158)</f>
        <v>15200</v>
      </c>
      <c r="L152" s="95"/>
      <c r="M152" s="82">
        <f t="shared" si="13"/>
        <v>0.57999999999999996</v>
      </c>
      <c r="N152" s="82">
        <v>0.26</v>
      </c>
      <c r="O152" s="82">
        <f t="shared" si="14"/>
        <v>0.59</v>
      </c>
      <c r="P152" s="82">
        <v>0.32800000000000001</v>
      </c>
      <c r="Q152" s="82">
        <v>0.68899999999999995</v>
      </c>
      <c r="R152" s="82">
        <v>0.57999999999999996</v>
      </c>
      <c r="S152" s="82">
        <v>0.59</v>
      </c>
    </row>
    <row r="153" spans="1:19">
      <c r="A153" s="19">
        <f t="shared" si="16"/>
        <v>42094</v>
      </c>
      <c r="B153" s="19">
        <f t="shared" si="15"/>
        <v>42459</v>
      </c>
      <c r="C153" s="86">
        <f t="shared" si="17"/>
        <v>0.26550000000000001</v>
      </c>
      <c r="D153" s="86">
        <f t="shared" si="18"/>
        <v>0.2843</v>
      </c>
      <c r="E153" s="86">
        <f t="shared" si="20"/>
        <v>6.5199999999999994E-2</v>
      </c>
      <c r="F153" s="86">
        <f t="shared" si="19"/>
        <v>2.5999999999999999E-2</v>
      </c>
      <c r="G153" s="87">
        <v>0.26200000000000001</v>
      </c>
      <c r="H153" s="87">
        <v>0.28199999999999997</v>
      </c>
      <c r="I153" s="87">
        <v>6.4000000000000001E-2</v>
      </c>
      <c r="J153" s="87">
        <v>2.5999999999999999E-2</v>
      </c>
      <c r="K153" s="25">
        <f>((5/3)*L146)+((7/3)*L158)</f>
        <v>15245</v>
      </c>
      <c r="L153" s="95"/>
      <c r="M153" s="82">
        <f t="shared" si="13"/>
        <v>0.57999999999999996</v>
      </c>
      <c r="N153" s="82">
        <v>0.26</v>
      </c>
      <c r="O153" s="82">
        <f t="shared" si="14"/>
        <v>0.59</v>
      </c>
      <c r="P153" s="82">
        <v>0.32800000000000001</v>
      </c>
      <c r="Q153" s="82">
        <v>0.68899999999999995</v>
      </c>
      <c r="R153" s="82">
        <v>0.57999999999999996</v>
      </c>
      <c r="S153" s="82">
        <v>0.59</v>
      </c>
    </row>
    <row r="154" spans="1:19">
      <c r="A154" s="19">
        <f t="shared" si="16"/>
        <v>42124</v>
      </c>
      <c r="B154" s="19">
        <f t="shared" si="15"/>
        <v>42489</v>
      </c>
      <c r="C154" s="86">
        <f t="shared" si="17"/>
        <v>0.26600000000000001</v>
      </c>
      <c r="D154" s="86">
        <f t="shared" si="18"/>
        <v>0.28470000000000001</v>
      </c>
      <c r="E154" s="86">
        <f t="shared" si="20"/>
        <v>6.5299999999999997E-2</v>
      </c>
      <c r="F154" s="86">
        <f t="shared" si="19"/>
        <v>2.5999999999999999E-2</v>
      </c>
      <c r="G154" s="87">
        <v>0.26200000000000001</v>
      </c>
      <c r="H154" s="87">
        <v>0.28199999999999997</v>
      </c>
      <c r="I154" s="87">
        <v>6.4000000000000001E-2</v>
      </c>
      <c r="J154" s="87">
        <v>2.5999999999999999E-2</v>
      </c>
      <c r="K154" s="25">
        <f>((4/3)*L146)+((8/3)*L158)</f>
        <v>15289</v>
      </c>
      <c r="L154" s="95"/>
      <c r="M154" s="82">
        <f t="shared" si="13"/>
        <v>0.57999999999999996</v>
      </c>
      <c r="N154" s="82">
        <v>0.26</v>
      </c>
      <c r="O154" s="82">
        <f t="shared" si="14"/>
        <v>0.59</v>
      </c>
      <c r="P154" s="82">
        <v>0.32800000000000001</v>
      </c>
      <c r="Q154" s="82">
        <v>0.68899999999999995</v>
      </c>
      <c r="R154" s="82">
        <v>0.57999999999999996</v>
      </c>
      <c r="S154" s="82">
        <v>0.59</v>
      </c>
    </row>
    <row r="155" spans="1:19">
      <c r="A155" s="19">
        <f t="shared" si="16"/>
        <v>42155</v>
      </c>
      <c r="B155" s="19">
        <f t="shared" si="15"/>
        <v>42520</v>
      </c>
      <c r="C155" s="86">
        <f t="shared" si="17"/>
        <v>0.26650000000000001</v>
      </c>
      <c r="D155" s="86">
        <f t="shared" si="18"/>
        <v>0.28499999999999998</v>
      </c>
      <c r="E155" s="86">
        <f t="shared" si="20"/>
        <v>6.5500000000000003E-2</v>
      </c>
      <c r="F155" s="86">
        <f t="shared" si="19"/>
        <v>2.5999999999999999E-2</v>
      </c>
      <c r="G155" s="87">
        <v>0.26200000000000001</v>
      </c>
      <c r="H155" s="87">
        <v>0.28199999999999997</v>
      </c>
      <c r="I155" s="87">
        <v>6.4000000000000001E-2</v>
      </c>
      <c r="J155" s="87">
        <v>2.5999999999999999E-2</v>
      </c>
      <c r="K155" s="25">
        <f>((3/3)*L146)+((9/3)*L158)</f>
        <v>15334</v>
      </c>
      <c r="L155" s="95"/>
      <c r="M155" s="82">
        <f t="shared" si="13"/>
        <v>0.57999999999999996</v>
      </c>
      <c r="N155" s="82">
        <v>0.26</v>
      </c>
      <c r="O155" s="82">
        <f t="shared" si="14"/>
        <v>0.59</v>
      </c>
      <c r="P155" s="82">
        <v>0.32800000000000001</v>
      </c>
      <c r="Q155" s="82">
        <v>0.68899999999999995</v>
      </c>
      <c r="R155" s="82">
        <v>0.57999999999999996</v>
      </c>
      <c r="S155" s="82">
        <v>0.59</v>
      </c>
    </row>
    <row r="156" spans="1:19">
      <c r="A156" s="19">
        <f t="shared" si="16"/>
        <v>42185</v>
      </c>
      <c r="B156" s="19">
        <f t="shared" si="15"/>
        <v>42550</v>
      </c>
      <c r="C156" s="86">
        <f t="shared" si="17"/>
        <v>0.26700000000000002</v>
      </c>
      <c r="D156" s="86">
        <f t="shared" si="18"/>
        <v>0.2853</v>
      </c>
      <c r="E156" s="86">
        <f t="shared" si="20"/>
        <v>6.5699999999999995E-2</v>
      </c>
      <c r="F156" s="86">
        <f t="shared" si="19"/>
        <v>2.5999999999999999E-2</v>
      </c>
      <c r="G156" s="87">
        <v>0.26200000000000001</v>
      </c>
      <c r="H156" s="87">
        <v>0.28199999999999997</v>
      </c>
      <c r="I156" s="87">
        <v>6.4000000000000001E-2</v>
      </c>
      <c r="J156" s="87">
        <v>2.5999999999999999E-2</v>
      </c>
      <c r="K156" s="25">
        <f>((2/3)*L146)+((10/3)*L158)</f>
        <v>15379</v>
      </c>
      <c r="L156" s="95"/>
      <c r="M156" s="82">
        <f t="shared" si="13"/>
        <v>0.57999999999999996</v>
      </c>
      <c r="N156" s="82">
        <v>0.26</v>
      </c>
      <c r="O156" s="82">
        <f t="shared" si="14"/>
        <v>0.59</v>
      </c>
      <c r="P156" s="82">
        <v>0.32800000000000001</v>
      </c>
      <c r="Q156" s="82">
        <v>0.68899999999999995</v>
      </c>
      <c r="R156" s="82">
        <v>0.57999999999999996</v>
      </c>
      <c r="S156" s="82">
        <v>0.59</v>
      </c>
    </row>
    <row r="157" spans="1:19">
      <c r="A157" s="19">
        <f t="shared" si="16"/>
        <v>42216</v>
      </c>
      <c r="B157" s="19">
        <f t="shared" si="15"/>
        <v>42581</v>
      </c>
      <c r="C157" s="83">
        <f t="shared" si="17"/>
        <v>0.26750000000000002</v>
      </c>
      <c r="D157" s="83">
        <f t="shared" si="18"/>
        <v>0.28570000000000001</v>
      </c>
      <c r="E157" s="83">
        <f t="shared" si="20"/>
        <v>6.5799999999999997E-2</v>
      </c>
      <c r="F157" s="83">
        <f t="shared" si="19"/>
        <v>2.5999999999999999E-2</v>
      </c>
      <c r="G157" s="87">
        <v>0.26200000000000001</v>
      </c>
      <c r="H157" s="87">
        <v>0.28199999999999997</v>
      </c>
      <c r="I157" s="87">
        <v>6.4000000000000001E-2</v>
      </c>
      <c r="J157" s="87">
        <v>2.5999999999999999E-2</v>
      </c>
      <c r="K157" s="25">
        <f>((1/3)*L146)+((11/3)*L158)</f>
        <v>15423</v>
      </c>
      <c r="L157" s="95"/>
      <c r="M157" s="82">
        <f t="shared" si="13"/>
        <v>0.57999999999999996</v>
      </c>
      <c r="N157" s="82">
        <v>0.26</v>
      </c>
      <c r="O157" s="82">
        <f t="shared" si="14"/>
        <v>0.59</v>
      </c>
      <c r="P157" s="82">
        <v>0.32800000000000001</v>
      </c>
      <c r="Q157" s="82">
        <v>0.68899999999999995</v>
      </c>
      <c r="R157" s="82">
        <v>0.57999999999999996</v>
      </c>
      <c r="S157" s="82">
        <v>0.59</v>
      </c>
    </row>
    <row r="158" spans="1:19" s="80" customFormat="1">
      <c r="A158" s="79">
        <f t="shared" si="16"/>
        <v>42247</v>
      </c>
      <c r="B158" s="79">
        <f t="shared" si="15"/>
        <v>42612</v>
      </c>
      <c r="C158" s="88">
        <f t="shared" si="17"/>
        <v>0.26800000000000002</v>
      </c>
      <c r="D158" s="88">
        <f t="shared" si="18"/>
        <v>0.28599999999999998</v>
      </c>
      <c r="E158" s="88">
        <f t="shared" si="20"/>
        <v>6.6000000000000003E-2</v>
      </c>
      <c r="F158" s="88">
        <f t="shared" si="19"/>
        <v>2.5999999999999999E-2</v>
      </c>
      <c r="G158" s="89">
        <v>0.26800000000000002</v>
      </c>
      <c r="H158" s="89">
        <v>0.28599999999999998</v>
      </c>
      <c r="I158" s="89">
        <v>6.6000000000000003E-2</v>
      </c>
      <c r="J158" s="89">
        <v>2.5999999999999999E-2</v>
      </c>
      <c r="K158" s="78">
        <f>(L158*4)</f>
        <v>15468</v>
      </c>
      <c r="L158" s="96">
        <v>3867</v>
      </c>
      <c r="M158" s="355">
        <f t="shared" si="13"/>
        <v>0.57999999999999996</v>
      </c>
      <c r="N158" s="355">
        <v>0.26</v>
      </c>
      <c r="O158" s="355">
        <f t="shared" si="14"/>
        <v>0.59</v>
      </c>
      <c r="P158" s="355">
        <v>0.34620000000000001</v>
      </c>
      <c r="Q158" s="355">
        <v>0.69640000000000002</v>
      </c>
      <c r="R158" s="355">
        <v>0.57999999999999996</v>
      </c>
      <c r="S158" s="355">
        <v>0.59</v>
      </c>
    </row>
    <row r="159" spans="1:19" s="80" customFormat="1">
      <c r="A159" s="79">
        <f t="shared" si="16"/>
        <v>42277</v>
      </c>
      <c r="B159" s="79">
        <f t="shared" si="15"/>
        <v>42642</v>
      </c>
      <c r="C159" s="88">
        <f t="shared" si="17"/>
        <v>0.26669999999999999</v>
      </c>
      <c r="D159" s="88">
        <f t="shared" si="18"/>
        <v>0.2848</v>
      </c>
      <c r="E159" s="88">
        <f t="shared" si="20"/>
        <v>6.6100000000000006E-2</v>
      </c>
      <c r="F159" s="88">
        <f t="shared" si="19"/>
        <v>2.5499999999999998E-2</v>
      </c>
      <c r="G159" s="89">
        <v>0.26800000000000002</v>
      </c>
      <c r="H159" s="89">
        <v>0.28599999999999998</v>
      </c>
      <c r="I159" s="89">
        <v>6.6000000000000003E-2</v>
      </c>
      <c r="J159" s="89">
        <v>2.5999999999999999E-2</v>
      </c>
      <c r="K159" s="78">
        <f>((11/3)*L158)+((1/3)*L170)</f>
        <v>15468</v>
      </c>
      <c r="L159" s="96"/>
      <c r="M159" s="355">
        <f t="shared" si="13"/>
        <v>0.57999999999999996</v>
      </c>
      <c r="N159" s="355">
        <v>0.26</v>
      </c>
      <c r="O159" s="355">
        <f t="shared" si="14"/>
        <v>0.59</v>
      </c>
      <c r="P159" s="355">
        <v>0.34620000000000001</v>
      </c>
      <c r="Q159" s="355">
        <v>0.69640000000000002</v>
      </c>
      <c r="R159" s="355">
        <v>0.57999999999999996</v>
      </c>
      <c r="S159" s="355">
        <v>0.59</v>
      </c>
    </row>
    <row r="160" spans="1:19" s="80" customFormat="1">
      <c r="A160" s="79">
        <f t="shared" si="16"/>
        <v>42308</v>
      </c>
      <c r="B160" s="79">
        <f t="shared" si="15"/>
        <v>42673</v>
      </c>
      <c r="C160" s="88">
        <f t="shared" si="17"/>
        <v>0.26529999999999998</v>
      </c>
      <c r="D160" s="88">
        <f t="shared" si="18"/>
        <v>0.28370000000000001</v>
      </c>
      <c r="E160" s="88">
        <f t="shared" si="20"/>
        <v>6.6199999999999995E-2</v>
      </c>
      <c r="F160" s="88">
        <f t="shared" si="19"/>
        <v>2.5000000000000001E-2</v>
      </c>
      <c r="G160" s="89">
        <v>0.26800000000000002</v>
      </c>
      <c r="H160" s="89">
        <v>0.28599999999999998</v>
      </c>
      <c r="I160" s="89">
        <v>6.6000000000000003E-2</v>
      </c>
      <c r="J160" s="89">
        <v>2.5999999999999999E-2</v>
      </c>
      <c r="K160" s="78">
        <f>((10/3)*L158)+((2/3)*L170)</f>
        <v>15468</v>
      </c>
      <c r="L160" s="96"/>
      <c r="M160" s="355">
        <f t="shared" si="13"/>
        <v>0.57999999999999996</v>
      </c>
      <c r="N160" s="355">
        <v>0.26</v>
      </c>
      <c r="O160" s="355">
        <f t="shared" si="14"/>
        <v>0.59</v>
      </c>
      <c r="P160" s="355">
        <v>0.34620000000000001</v>
      </c>
      <c r="Q160" s="355">
        <v>0.69640000000000002</v>
      </c>
      <c r="R160" s="355">
        <v>0.57999999999999996</v>
      </c>
      <c r="S160" s="355">
        <v>0.59</v>
      </c>
    </row>
    <row r="161" spans="1:19" s="80" customFormat="1">
      <c r="A161" s="79">
        <f t="shared" si="16"/>
        <v>42338</v>
      </c>
      <c r="B161" s="79">
        <f t="shared" si="15"/>
        <v>42703</v>
      </c>
      <c r="C161" s="88">
        <f t="shared" si="17"/>
        <v>0.26400000000000001</v>
      </c>
      <c r="D161" s="88">
        <f t="shared" si="18"/>
        <v>0.28249999999999997</v>
      </c>
      <c r="E161" s="88">
        <f t="shared" si="20"/>
        <v>6.6299999999999998E-2</v>
      </c>
      <c r="F161" s="88">
        <f t="shared" si="19"/>
        <v>2.4500000000000001E-2</v>
      </c>
      <c r="G161" s="89">
        <v>0.26800000000000002</v>
      </c>
      <c r="H161" s="89">
        <v>0.28599999999999998</v>
      </c>
      <c r="I161" s="89">
        <v>6.6000000000000003E-2</v>
      </c>
      <c r="J161" s="89">
        <v>2.5999999999999999E-2</v>
      </c>
      <c r="K161" s="78">
        <f>((9/3)*L158)+((3/3)*L170)</f>
        <v>15468</v>
      </c>
      <c r="L161" s="96"/>
      <c r="M161" s="355">
        <f t="shared" si="13"/>
        <v>0.57999999999999996</v>
      </c>
      <c r="N161" s="355">
        <v>0.26</v>
      </c>
      <c r="O161" s="355">
        <f t="shared" si="14"/>
        <v>0.59</v>
      </c>
      <c r="P161" s="355">
        <v>0.34620000000000001</v>
      </c>
      <c r="Q161" s="355">
        <v>0.69640000000000002</v>
      </c>
      <c r="R161" s="355">
        <v>0.57999999999999996</v>
      </c>
      <c r="S161" s="355">
        <v>0.59</v>
      </c>
    </row>
    <row r="162" spans="1:19" s="80" customFormat="1">
      <c r="A162" s="79">
        <f t="shared" si="16"/>
        <v>42369</v>
      </c>
      <c r="B162" s="79">
        <f t="shared" si="15"/>
        <v>42734</v>
      </c>
      <c r="C162" s="88">
        <f t="shared" si="17"/>
        <v>0.26269999999999999</v>
      </c>
      <c r="D162" s="88">
        <f t="shared" si="18"/>
        <v>0.28129999999999999</v>
      </c>
      <c r="E162" s="88">
        <f t="shared" si="20"/>
        <v>6.6299999999999998E-2</v>
      </c>
      <c r="F162" s="88">
        <f t="shared" si="19"/>
        <v>2.4E-2</v>
      </c>
      <c r="G162" s="89">
        <v>0.26800000000000002</v>
      </c>
      <c r="H162" s="89">
        <v>0.28599999999999998</v>
      </c>
      <c r="I162" s="89">
        <v>6.6000000000000003E-2</v>
      </c>
      <c r="J162" s="89">
        <v>2.5999999999999999E-2</v>
      </c>
      <c r="K162" s="78">
        <f>((8/3)*L158)+((4/3)*L170)</f>
        <v>15468</v>
      </c>
      <c r="L162" s="96"/>
      <c r="M162" s="355">
        <f t="shared" si="13"/>
        <v>0.57999999999999996</v>
      </c>
      <c r="N162" s="355">
        <v>0.26</v>
      </c>
      <c r="O162" s="355">
        <f t="shared" si="14"/>
        <v>0.59</v>
      </c>
      <c r="P162" s="355">
        <v>0.34620000000000001</v>
      </c>
      <c r="Q162" s="355">
        <v>0.69640000000000002</v>
      </c>
      <c r="R162" s="355">
        <v>0.57999999999999996</v>
      </c>
      <c r="S162" s="355">
        <v>0.59</v>
      </c>
    </row>
    <row r="163" spans="1:19" s="80" customFormat="1">
      <c r="A163" s="79">
        <f t="shared" si="16"/>
        <v>42400</v>
      </c>
      <c r="B163" s="79">
        <f t="shared" si="15"/>
        <v>42765</v>
      </c>
      <c r="C163" s="88">
        <f t="shared" si="17"/>
        <v>0.26129999999999998</v>
      </c>
      <c r="D163" s="88">
        <f t="shared" si="18"/>
        <v>0.2802</v>
      </c>
      <c r="E163" s="88">
        <f t="shared" si="20"/>
        <v>6.6400000000000001E-2</v>
      </c>
      <c r="F163" s="88">
        <f t="shared" si="19"/>
        <v>2.35E-2</v>
      </c>
      <c r="G163" s="89">
        <v>0.26800000000000002</v>
      </c>
      <c r="H163" s="89">
        <v>0.28599999999999998</v>
      </c>
      <c r="I163" s="89">
        <v>6.6000000000000003E-2</v>
      </c>
      <c r="J163" s="89">
        <v>2.5999999999999999E-2</v>
      </c>
      <c r="K163" s="78">
        <f>((7/3)*L158)+((5/3)*L170)</f>
        <v>15468</v>
      </c>
      <c r="L163" s="96"/>
      <c r="M163" s="355">
        <f t="shared" si="13"/>
        <v>0.57999999999999996</v>
      </c>
      <c r="N163" s="355">
        <v>0.26</v>
      </c>
      <c r="O163" s="355">
        <f t="shared" si="14"/>
        <v>0.59</v>
      </c>
      <c r="P163" s="355">
        <v>0.34620000000000001</v>
      </c>
      <c r="Q163" s="355">
        <v>0.69640000000000002</v>
      </c>
      <c r="R163" s="355">
        <v>0.57999999999999996</v>
      </c>
      <c r="S163" s="355">
        <v>0.59</v>
      </c>
    </row>
    <row r="164" spans="1:19" s="80" customFormat="1">
      <c r="A164" s="79">
        <f t="shared" si="16"/>
        <v>42429</v>
      </c>
      <c r="B164" s="79">
        <f t="shared" si="15"/>
        <v>42793</v>
      </c>
      <c r="C164" s="88">
        <f t="shared" si="17"/>
        <v>0.26</v>
      </c>
      <c r="D164" s="88">
        <f t="shared" si="18"/>
        <v>0.27900000000000003</v>
      </c>
      <c r="E164" s="88">
        <f t="shared" si="20"/>
        <v>6.6500000000000004E-2</v>
      </c>
      <c r="F164" s="88">
        <f t="shared" si="19"/>
        <v>2.3E-2</v>
      </c>
      <c r="G164" s="89">
        <v>0.26800000000000002</v>
      </c>
      <c r="H164" s="89">
        <v>0.28599999999999998</v>
      </c>
      <c r="I164" s="89">
        <v>6.6000000000000003E-2</v>
      </c>
      <c r="J164" s="89">
        <v>2.5999999999999999E-2</v>
      </c>
      <c r="K164" s="78">
        <f>((6/3)*L158)+((6/3)*L170)</f>
        <v>15468</v>
      </c>
      <c r="L164" s="96"/>
      <c r="M164" s="355">
        <f t="shared" si="13"/>
        <v>0.57999999999999996</v>
      </c>
      <c r="N164" s="355">
        <v>0.26</v>
      </c>
      <c r="O164" s="355">
        <f t="shared" si="14"/>
        <v>0.59</v>
      </c>
      <c r="P164" s="355">
        <v>0.34620000000000001</v>
      </c>
      <c r="Q164" s="355">
        <v>0.69640000000000002</v>
      </c>
      <c r="R164" s="355">
        <v>0.57999999999999996</v>
      </c>
      <c r="S164" s="355">
        <v>0.59</v>
      </c>
    </row>
    <row r="165" spans="1:19" s="80" customFormat="1">
      <c r="A165" s="79">
        <f t="shared" si="16"/>
        <v>42460</v>
      </c>
      <c r="B165" s="79">
        <f t="shared" si="15"/>
        <v>42824</v>
      </c>
      <c r="C165" s="88">
        <f t="shared" si="17"/>
        <v>0.25869999999999999</v>
      </c>
      <c r="D165" s="88">
        <f t="shared" si="18"/>
        <v>0.27779999999999999</v>
      </c>
      <c r="E165" s="88">
        <f t="shared" si="20"/>
        <v>6.6600000000000006E-2</v>
      </c>
      <c r="F165" s="88">
        <f t="shared" si="19"/>
        <v>2.2499999999999999E-2</v>
      </c>
      <c r="G165" s="89">
        <v>0.26800000000000002</v>
      </c>
      <c r="H165" s="89">
        <v>0.28599999999999998</v>
      </c>
      <c r="I165" s="89">
        <v>6.6000000000000003E-2</v>
      </c>
      <c r="J165" s="89">
        <v>2.5999999999999999E-2</v>
      </c>
      <c r="K165" s="78">
        <f>((5/3)*L158)+((7/3)*L170)</f>
        <v>15468</v>
      </c>
      <c r="L165" s="96"/>
      <c r="M165" s="355">
        <f t="shared" si="13"/>
        <v>0.57999999999999996</v>
      </c>
      <c r="N165" s="355">
        <v>0.26</v>
      </c>
      <c r="O165" s="355">
        <f t="shared" si="14"/>
        <v>0.59</v>
      </c>
      <c r="P165" s="355">
        <v>0.34620000000000001</v>
      </c>
      <c r="Q165" s="355">
        <v>0.69640000000000002</v>
      </c>
      <c r="R165" s="355">
        <v>0.57999999999999996</v>
      </c>
      <c r="S165" s="355">
        <v>0.59</v>
      </c>
    </row>
    <row r="166" spans="1:19" s="80" customFormat="1">
      <c r="A166" s="79">
        <f t="shared" si="16"/>
        <v>42490</v>
      </c>
      <c r="B166" s="79">
        <f t="shared" si="15"/>
        <v>42854</v>
      </c>
      <c r="C166" s="88">
        <f t="shared" si="17"/>
        <v>0.25729999999999997</v>
      </c>
      <c r="D166" s="88">
        <f t="shared" si="18"/>
        <v>0.2767</v>
      </c>
      <c r="E166" s="88">
        <f t="shared" si="20"/>
        <v>6.6699999999999995E-2</v>
      </c>
      <c r="F166" s="88">
        <f t="shared" si="19"/>
        <v>2.1999999999999999E-2</v>
      </c>
      <c r="G166" s="89">
        <v>0.26800000000000002</v>
      </c>
      <c r="H166" s="89">
        <v>0.28599999999999998</v>
      </c>
      <c r="I166" s="89">
        <v>6.6000000000000003E-2</v>
      </c>
      <c r="J166" s="89">
        <v>2.5999999999999999E-2</v>
      </c>
      <c r="K166" s="78">
        <f>((4/3)*L158)+((8/3)*L170)</f>
        <v>15468</v>
      </c>
      <c r="L166" s="96"/>
      <c r="M166" s="355">
        <f t="shared" si="13"/>
        <v>0.57999999999999996</v>
      </c>
      <c r="N166" s="355">
        <v>0.26</v>
      </c>
      <c r="O166" s="355">
        <f t="shared" si="14"/>
        <v>0.59</v>
      </c>
      <c r="P166" s="355">
        <v>0.34620000000000001</v>
      </c>
      <c r="Q166" s="355">
        <v>0.69640000000000002</v>
      </c>
      <c r="R166" s="355">
        <v>0.57999999999999996</v>
      </c>
      <c r="S166" s="355">
        <v>0.59</v>
      </c>
    </row>
    <row r="167" spans="1:19" s="80" customFormat="1">
      <c r="A167" s="79">
        <f t="shared" si="16"/>
        <v>42521</v>
      </c>
      <c r="B167" s="79">
        <f t="shared" si="15"/>
        <v>42885</v>
      </c>
      <c r="C167" s="88">
        <f t="shared" si="17"/>
        <v>0.25600000000000001</v>
      </c>
      <c r="D167" s="88">
        <f t="shared" si="18"/>
        <v>0.27550000000000002</v>
      </c>
      <c r="E167" s="88">
        <f t="shared" si="20"/>
        <v>6.6799999999999998E-2</v>
      </c>
      <c r="F167" s="88">
        <f t="shared" si="19"/>
        <v>2.1499999999999998E-2</v>
      </c>
      <c r="G167" s="89">
        <v>0.26800000000000002</v>
      </c>
      <c r="H167" s="89">
        <v>0.28599999999999998</v>
      </c>
      <c r="I167" s="89">
        <v>6.6000000000000003E-2</v>
      </c>
      <c r="J167" s="89">
        <v>2.5999999999999999E-2</v>
      </c>
      <c r="K167" s="78">
        <f>((3/3)*L158)+((9/3)*L170)</f>
        <v>15468</v>
      </c>
      <c r="L167" s="96"/>
      <c r="M167" s="355">
        <f t="shared" si="13"/>
        <v>0.57999999999999996</v>
      </c>
      <c r="N167" s="355">
        <v>0.26</v>
      </c>
      <c r="O167" s="355">
        <f t="shared" si="14"/>
        <v>0.59</v>
      </c>
      <c r="P167" s="355">
        <v>0.34620000000000001</v>
      </c>
      <c r="Q167" s="355">
        <v>0.69640000000000002</v>
      </c>
      <c r="R167" s="355">
        <v>0.57999999999999996</v>
      </c>
      <c r="S167" s="355">
        <v>0.59</v>
      </c>
    </row>
    <row r="168" spans="1:19" s="80" customFormat="1">
      <c r="A168" s="79">
        <f t="shared" si="16"/>
        <v>42551</v>
      </c>
      <c r="B168" s="79">
        <f t="shared" si="15"/>
        <v>42915</v>
      </c>
      <c r="C168" s="88">
        <f t="shared" si="17"/>
        <v>0.25469999999999998</v>
      </c>
      <c r="D168" s="88">
        <f t="shared" si="18"/>
        <v>0.27429999999999999</v>
      </c>
      <c r="E168" s="88">
        <f t="shared" si="20"/>
        <v>6.6799999999999998E-2</v>
      </c>
      <c r="F168" s="88">
        <f t="shared" si="19"/>
        <v>2.1000000000000001E-2</v>
      </c>
      <c r="G168" s="89">
        <v>0.26800000000000002</v>
      </c>
      <c r="H168" s="89">
        <v>0.28599999999999998</v>
      </c>
      <c r="I168" s="89">
        <v>6.6000000000000003E-2</v>
      </c>
      <c r="J168" s="89">
        <v>2.5999999999999999E-2</v>
      </c>
      <c r="K168" s="78">
        <f>((2/3)*L158)+((10/3)*L170)</f>
        <v>15468</v>
      </c>
      <c r="L168" s="96"/>
      <c r="M168" s="355">
        <f t="shared" si="13"/>
        <v>0.57999999999999996</v>
      </c>
      <c r="N168" s="355">
        <v>0.26</v>
      </c>
      <c r="O168" s="355">
        <f t="shared" si="14"/>
        <v>0.59</v>
      </c>
      <c r="P168" s="355">
        <v>0.34620000000000001</v>
      </c>
      <c r="Q168" s="355">
        <v>0.69640000000000002</v>
      </c>
      <c r="R168" s="355">
        <v>0.57999999999999996</v>
      </c>
      <c r="S168" s="355">
        <v>0.59</v>
      </c>
    </row>
    <row r="169" spans="1:19" s="80" customFormat="1">
      <c r="A169" s="79">
        <f t="shared" si="16"/>
        <v>42582</v>
      </c>
      <c r="B169" s="79">
        <f t="shared" si="15"/>
        <v>42946</v>
      </c>
      <c r="C169" s="88">
        <f t="shared" si="17"/>
        <v>0.25330000000000003</v>
      </c>
      <c r="D169" s="88">
        <f t="shared" si="18"/>
        <v>0.2732</v>
      </c>
      <c r="E169" s="88">
        <f t="shared" si="20"/>
        <v>6.6900000000000001E-2</v>
      </c>
      <c r="F169" s="88">
        <f t="shared" si="19"/>
        <v>2.0500000000000001E-2</v>
      </c>
      <c r="G169" s="89">
        <v>0.26800000000000002</v>
      </c>
      <c r="H169" s="89">
        <v>0.28599999999999998</v>
      </c>
      <c r="I169" s="89">
        <v>6.6000000000000003E-2</v>
      </c>
      <c r="J169" s="89">
        <v>2.5999999999999999E-2</v>
      </c>
      <c r="K169" s="78">
        <f>((1/3)*L158)+((11/3)*L170)</f>
        <v>15468</v>
      </c>
      <c r="L169" s="96"/>
      <c r="M169" s="355">
        <f t="shared" si="13"/>
        <v>0.57999999999999996</v>
      </c>
      <c r="N169" s="355">
        <v>0.26</v>
      </c>
      <c r="O169" s="355">
        <f t="shared" si="14"/>
        <v>0.59</v>
      </c>
      <c r="P169" s="355">
        <v>0.34620000000000001</v>
      </c>
      <c r="Q169" s="355">
        <v>0.69640000000000002</v>
      </c>
      <c r="R169" s="355">
        <v>0.57999999999999996</v>
      </c>
      <c r="S169" s="355">
        <v>0.59</v>
      </c>
    </row>
    <row r="170" spans="1:19">
      <c r="A170" s="19">
        <f t="shared" si="16"/>
        <v>42613</v>
      </c>
      <c r="B170" s="19">
        <f t="shared" si="15"/>
        <v>42977</v>
      </c>
      <c r="C170" s="86">
        <f t="shared" si="17"/>
        <v>0.252</v>
      </c>
      <c r="D170" s="86">
        <f t="shared" si="18"/>
        <v>0.27200000000000002</v>
      </c>
      <c r="E170" s="86">
        <f t="shared" si="20"/>
        <v>6.7000000000000004E-2</v>
      </c>
      <c r="F170" s="86">
        <f t="shared" si="19"/>
        <v>0.02</v>
      </c>
      <c r="G170" s="87">
        <v>0.252</v>
      </c>
      <c r="H170" s="87">
        <v>0.27200000000000002</v>
      </c>
      <c r="I170" s="87">
        <v>6.7000000000000004E-2</v>
      </c>
      <c r="J170" s="87">
        <v>0.02</v>
      </c>
      <c r="K170" s="25">
        <f>(L170*4)</f>
        <v>15468</v>
      </c>
      <c r="L170" s="95">
        <v>3867</v>
      </c>
      <c r="M170" s="82">
        <f t="shared" si="13"/>
        <v>0.57999999999999996</v>
      </c>
      <c r="N170" s="82">
        <v>0.26</v>
      </c>
      <c r="O170" s="82">
        <f t="shared" si="14"/>
        <v>0.59</v>
      </c>
      <c r="P170" s="82">
        <v>0.34620000000000001</v>
      </c>
      <c r="Q170" s="82">
        <v>0.69640000000000002</v>
      </c>
      <c r="R170" s="82">
        <v>0.57999999999999996</v>
      </c>
      <c r="S170" s="82">
        <v>0.59</v>
      </c>
    </row>
    <row r="171" spans="1:19">
      <c r="A171" s="19">
        <f t="shared" si="16"/>
        <v>42643</v>
      </c>
      <c r="B171" s="19">
        <f t="shared" si="15"/>
        <v>43007</v>
      </c>
      <c r="C171" s="86">
        <f t="shared" si="17"/>
        <v>0.25140000000000001</v>
      </c>
      <c r="D171" s="86">
        <f t="shared" si="18"/>
        <v>0.27139999999999997</v>
      </c>
      <c r="E171" s="86">
        <f t="shared" si="20"/>
        <v>6.6699999999999995E-2</v>
      </c>
      <c r="F171" s="86">
        <f t="shared" si="19"/>
        <v>2.0500000000000001E-2</v>
      </c>
      <c r="G171" s="87">
        <v>0.252</v>
      </c>
      <c r="H171" s="87">
        <v>0.27200000000000002</v>
      </c>
      <c r="I171" s="87">
        <v>6.7000000000000004E-2</v>
      </c>
      <c r="J171" s="87">
        <v>0.02</v>
      </c>
      <c r="K171" s="25">
        <f>((11/3)*L170)+((1/3)*L182)</f>
        <v>15468</v>
      </c>
      <c r="L171" s="95"/>
      <c r="M171" s="82">
        <f t="shared" si="13"/>
        <v>0.58169999999999999</v>
      </c>
      <c r="N171" s="82">
        <v>0.26</v>
      </c>
      <c r="O171" s="82">
        <f t="shared" si="14"/>
        <v>0.5917</v>
      </c>
      <c r="P171" s="82">
        <v>0.34620000000000001</v>
      </c>
      <c r="Q171" s="82">
        <v>0.69640000000000002</v>
      </c>
      <c r="R171" s="82">
        <v>0.57999999999999996</v>
      </c>
      <c r="S171" s="82">
        <v>0.59</v>
      </c>
    </row>
    <row r="172" spans="1:19">
      <c r="A172" s="19">
        <f t="shared" si="16"/>
        <v>42674</v>
      </c>
      <c r="B172" s="19">
        <f t="shared" si="15"/>
        <v>43038</v>
      </c>
      <c r="C172" s="86">
        <f t="shared" si="17"/>
        <v>0.25080000000000002</v>
      </c>
      <c r="D172" s="86">
        <f t="shared" si="18"/>
        <v>0.27079999999999999</v>
      </c>
      <c r="E172" s="86">
        <f t="shared" si="20"/>
        <v>6.6299999999999998E-2</v>
      </c>
      <c r="F172" s="86">
        <f t="shared" si="19"/>
        <v>2.1000000000000001E-2</v>
      </c>
      <c r="G172" s="87">
        <v>0.252</v>
      </c>
      <c r="H172" s="87">
        <v>0.27200000000000002</v>
      </c>
      <c r="I172" s="87">
        <v>6.7000000000000004E-2</v>
      </c>
      <c r="J172" s="87">
        <v>0.02</v>
      </c>
      <c r="K172" s="25">
        <f>((10/3)*L170)+((2/3)*L182)</f>
        <v>15468</v>
      </c>
      <c r="L172" s="95"/>
      <c r="M172" s="82">
        <f t="shared" si="13"/>
        <v>0.58330000000000004</v>
      </c>
      <c r="N172" s="82">
        <v>0.26</v>
      </c>
      <c r="O172" s="82">
        <f t="shared" si="14"/>
        <v>0.59330000000000005</v>
      </c>
      <c r="P172" s="82">
        <v>0.34620000000000001</v>
      </c>
      <c r="Q172" s="82">
        <v>0.69640000000000002</v>
      </c>
      <c r="R172" s="82">
        <v>0.57999999999999996</v>
      </c>
      <c r="S172" s="82">
        <v>0.59</v>
      </c>
    </row>
    <row r="173" spans="1:19">
      <c r="A173" s="19">
        <f t="shared" si="16"/>
        <v>42704</v>
      </c>
      <c r="B173" s="19">
        <f t="shared" si="15"/>
        <v>43068</v>
      </c>
      <c r="C173" s="86">
        <f t="shared" si="17"/>
        <v>0.25030000000000002</v>
      </c>
      <c r="D173" s="86">
        <f t="shared" si="18"/>
        <v>0.27029999999999998</v>
      </c>
      <c r="E173" s="86">
        <f t="shared" si="20"/>
        <v>6.6000000000000003E-2</v>
      </c>
      <c r="F173" s="86">
        <f t="shared" si="19"/>
        <v>2.1499999999999998E-2</v>
      </c>
      <c r="G173" s="87">
        <v>0.252</v>
      </c>
      <c r="H173" s="87">
        <v>0.27200000000000002</v>
      </c>
      <c r="I173" s="87">
        <v>6.7000000000000004E-2</v>
      </c>
      <c r="J173" s="87">
        <v>0.02</v>
      </c>
      <c r="K173" s="25">
        <f>((9/3)*L170)+((3/3)*L182)</f>
        <v>15468</v>
      </c>
      <c r="L173" s="95"/>
      <c r="M173" s="82">
        <f t="shared" si="13"/>
        <v>0.58499999999999996</v>
      </c>
      <c r="N173" s="82">
        <v>0.26</v>
      </c>
      <c r="O173" s="82">
        <f t="shared" si="14"/>
        <v>0.59499999999999997</v>
      </c>
      <c r="P173" s="82">
        <v>0.34620000000000001</v>
      </c>
      <c r="Q173" s="82">
        <v>0.69640000000000002</v>
      </c>
      <c r="R173" s="82">
        <v>0.57999999999999996</v>
      </c>
      <c r="S173" s="82">
        <v>0.59</v>
      </c>
    </row>
    <row r="174" spans="1:19">
      <c r="A174" s="19">
        <f t="shared" si="16"/>
        <v>42735</v>
      </c>
      <c r="B174" s="19">
        <f t="shared" si="15"/>
        <v>43099</v>
      </c>
      <c r="C174" s="86">
        <f t="shared" si="17"/>
        <v>0.24970000000000001</v>
      </c>
      <c r="D174" s="86">
        <f t="shared" si="18"/>
        <v>0.2697</v>
      </c>
      <c r="E174" s="86">
        <f t="shared" si="20"/>
        <v>6.5699999999999995E-2</v>
      </c>
      <c r="F174" s="86">
        <f t="shared" si="19"/>
        <v>2.1999999999999999E-2</v>
      </c>
      <c r="G174" s="87">
        <v>0.252</v>
      </c>
      <c r="H174" s="87">
        <v>0.27200000000000002</v>
      </c>
      <c r="I174" s="87">
        <v>6.7000000000000004E-2</v>
      </c>
      <c r="J174" s="87">
        <v>0.02</v>
      </c>
      <c r="K174" s="25">
        <f>((8/3)*L170)+((4/3)*L182)</f>
        <v>15468</v>
      </c>
      <c r="L174" s="95"/>
      <c r="M174" s="82">
        <f t="shared" si="13"/>
        <v>0.5867</v>
      </c>
      <c r="N174" s="82">
        <v>0.26</v>
      </c>
      <c r="O174" s="82">
        <f t="shared" si="14"/>
        <v>0.59670000000000001</v>
      </c>
      <c r="P174" s="82">
        <v>0.34620000000000001</v>
      </c>
      <c r="Q174" s="82">
        <v>0.69640000000000002</v>
      </c>
      <c r="R174" s="82">
        <v>0.57999999999999996</v>
      </c>
      <c r="S174" s="82">
        <v>0.59</v>
      </c>
    </row>
    <row r="175" spans="1:19">
      <c r="A175" s="19">
        <f t="shared" si="16"/>
        <v>42766</v>
      </c>
      <c r="B175" s="19">
        <f t="shared" si="15"/>
        <v>43130</v>
      </c>
      <c r="C175" s="86">
        <f t="shared" si="17"/>
        <v>0.24909999999999999</v>
      </c>
      <c r="D175" s="86">
        <f t="shared" si="18"/>
        <v>0.26910000000000001</v>
      </c>
      <c r="E175" s="86">
        <f t="shared" si="20"/>
        <v>6.5299999999999997E-2</v>
      </c>
      <c r="F175" s="86">
        <f t="shared" si="19"/>
        <v>2.2499999999999999E-2</v>
      </c>
      <c r="G175" s="87">
        <v>0.252</v>
      </c>
      <c r="H175" s="87">
        <v>0.27200000000000002</v>
      </c>
      <c r="I175" s="87">
        <v>6.7000000000000004E-2</v>
      </c>
      <c r="J175" s="87">
        <v>0.02</v>
      </c>
      <c r="K175" s="25">
        <f>((7/3)*L170)+((5/3)*L182)</f>
        <v>15468</v>
      </c>
      <c r="L175" s="95"/>
      <c r="M175" s="82">
        <f t="shared" ref="M175:M238" si="21">AVERAGE(R175:R186)</f>
        <v>0.58830000000000005</v>
      </c>
      <c r="N175" s="82">
        <v>0.26</v>
      </c>
      <c r="O175" s="82">
        <f t="shared" ref="O175:O238" si="22">AVERAGE(S175:S186)</f>
        <v>0.59830000000000005</v>
      </c>
      <c r="P175" s="82">
        <v>0.34620000000000001</v>
      </c>
      <c r="Q175" s="82">
        <v>0.69640000000000002</v>
      </c>
      <c r="R175" s="82">
        <v>0.57999999999999996</v>
      </c>
      <c r="S175" s="82">
        <v>0.59</v>
      </c>
    </row>
    <row r="176" spans="1:19">
      <c r="A176" s="19">
        <f t="shared" si="16"/>
        <v>42794</v>
      </c>
      <c r="B176" s="19">
        <f t="shared" si="15"/>
        <v>43158</v>
      </c>
      <c r="C176" s="86">
        <f t="shared" si="17"/>
        <v>0.2485</v>
      </c>
      <c r="D176" s="86">
        <f t="shared" si="18"/>
        <v>0.26850000000000002</v>
      </c>
      <c r="E176" s="86">
        <f t="shared" si="20"/>
        <v>6.5000000000000002E-2</v>
      </c>
      <c r="F176" s="86">
        <f t="shared" si="19"/>
        <v>2.3E-2</v>
      </c>
      <c r="G176" s="87">
        <v>0.252</v>
      </c>
      <c r="H176" s="87">
        <v>0.27200000000000002</v>
      </c>
      <c r="I176" s="87">
        <v>6.7000000000000004E-2</v>
      </c>
      <c r="J176" s="87">
        <v>0.02</v>
      </c>
      <c r="K176" s="25">
        <f>((6/3)*L170)+((6/3)*L182)</f>
        <v>15468</v>
      </c>
      <c r="L176" s="95"/>
      <c r="M176" s="82">
        <f t="shared" si="21"/>
        <v>0.59</v>
      </c>
      <c r="N176" s="82">
        <v>0.26</v>
      </c>
      <c r="O176" s="82">
        <f t="shared" si="22"/>
        <v>0.6</v>
      </c>
      <c r="P176" s="82">
        <v>0.34620000000000001</v>
      </c>
      <c r="Q176" s="82">
        <v>0.69640000000000002</v>
      </c>
      <c r="R176" s="82">
        <v>0.57999999999999996</v>
      </c>
      <c r="S176" s="82">
        <v>0.59</v>
      </c>
    </row>
    <row r="177" spans="1:19">
      <c r="A177" s="19">
        <f t="shared" si="16"/>
        <v>42825</v>
      </c>
      <c r="B177" s="19">
        <f t="shared" si="15"/>
        <v>43189</v>
      </c>
      <c r="C177" s="86">
        <f t="shared" si="17"/>
        <v>0.24790000000000001</v>
      </c>
      <c r="D177" s="86">
        <f t="shared" si="18"/>
        <v>0.26790000000000003</v>
      </c>
      <c r="E177" s="86">
        <f t="shared" si="20"/>
        <v>6.4699999999999994E-2</v>
      </c>
      <c r="F177" s="86">
        <f t="shared" si="19"/>
        <v>2.35E-2</v>
      </c>
      <c r="G177" s="87">
        <v>0.252</v>
      </c>
      <c r="H177" s="87">
        <v>0.27200000000000002</v>
      </c>
      <c r="I177" s="87">
        <v>6.7000000000000004E-2</v>
      </c>
      <c r="J177" s="87">
        <v>0.02</v>
      </c>
      <c r="K177" s="25">
        <f>((5/3)*L170)+((7/3)*L182)</f>
        <v>15468</v>
      </c>
      <c r="L177" s="95"/>
      <c r="M177" s="82">
        <f t="shared" si="21"/>
        <v>0.5917</v>
      </c>
      <c r="N177" s="82">
        <v>0.26</v>
      </c>
      <c r="O177" s="82">
        <f t="shared" si="22"/>
        <v>0.60170000000000001</v>
      </c>
      <c r="P177" s="82">
        <v>0.34620000000000001</v>
      </c>
      <c r="Q177" s="82">
        <v>0.69640000000000002</v>
      </c>
      <c r="R177" s="82">
        <v>0.57999999999999996</v>
      </c>
      <c r="S177" s="82">
        <v>0.59</v>
      </c>
    </row>
    <row r="178" spans="1:19">
      <c r="A178" s="19">
        <f t="shared" si="16"/>
        <v>42855</v>
      </c>
      <c r="B178" s="19">
        <f t="shared" si="15"/>
        <v>43219</v>
      </c>
      <c r="C178" s="86">
        <f t="shared" si="17"/>
        <v>0.24729999999999999</v>
      </c>
      <c r="D178" s="86">
        <f t="shared" si="18"/>
        <v>0.26729999999999998</v>
      </c>
      <c r="E178" s="86">
        <f t="shared" si="20"/>
        <v>6.4299999999999996E-2</v>
      </c>
      <c r="F178" s="86">
        <f t="shared" si="19"/>
        <v>2.4E-2</v>
      </c>
      <c r="G178" s="87">
        <v>0.252</v>
      </c>
      <c r="H178" s="87">
        <v>0.27200000000000002</v>
      </c>
      <c r="I178" s="87">
        <v>6.7000000000000004E-2</v>
      </c>
      <c r="J178" s="87">
        <v>0.02</v>
      </c>
      <c r="K178" s="25">
        <f>((4/3)*L170)+((8/3)*L182)</f>
        <v>15468</v>
      </c>
      <c r="L178" s="95"/>
      <c r="M178" s="82">
        <f t="shared" si="21"/>
        <v>0.59330000000000005</v>
      </c>
      <c r="N178" s="82">
        <v>0.26</v>
      </c>
      <c r="O178" s="82">
        <f t="shared" si="22"/>
        <v>0.60329999999999995</v>
      </c>
      <c r="P178" s="82">
        <v>0.34620000000000001</v>
      </c>
      <c r="Q178" s="82">
        <v>0.69640000000000002</v>
      </c>
      <c r="R178" s="82">
        <v>0.57999999999999996</v>
      </c>
      <c r="S178" s="82">
        <v>0.59</v>
      </c>
    </row>
    <row r="179" spans="1:19">
      <c r="A179" s="19">
        <f t="shared" si="16"/>
        <v>42886</v>
      </c>
      <c r="B179" s="19">
        <f t="shared" si="15"/>
        <v>43250</v>
      </c>
      <c r="C179" s="86">
        <f t="shared" si="17"/>
        <v>0.24679999999999999</v>
      </c>
      <c r="D179" s="86">
        <f t="shared" si="18"/>
        <v>0.26679999999999998</v>
      </c>
      <c r="E179" s="86">
        <f t="shared" si="20"/>
        <v>6.4000000000000001E-2</v>
      </c>
      <c r="F179" s="86">
        <f t="shared" si="19"/>
        <v>2.4500000000000001E-2</v>
      </c>
      <c r="G179" s="87">
        <v>0.252</v>
      </c>
      <c r="H179" s="87">
        <v>0.27200000000000002</v>
      </c>
      <c r="I179" s="87">
        <v>6.7000000000000004E-2</v>
      </c>
      <c r="J179" s="87">
        <v>0.02</v>
      </c>
      <c r="K179" s="25">
        <f>((3/3)*L170)+((9/3)*L182)</f>
        <v>15468</v>
      </c>
      <c r="L179" s="95"/>
      <c r="M179" s="82">
        <f t="shared" si="21"/>
        <v>0.59499999999999997</v>
      </c>
      <c r="N179" s="82">
        <v>0.26</v>
      </c>
      <c r="O179" s="82">
        <f t="shared" si="22"/>
        <v>0.60499999999999998</v>
      </c>
      <c r="P179" s="82">
        <v>0.34620000000000001</v>
      </c>
      <c r="Q179" s="82">
        <v>0.69640000000000002</v>
      </c>
      <c r="R179" s="82">
        <v>0.57999999999999996</v>
      </c>
      <c r="S179" s="82">
        <v>0.59</v>
      </c>
    </row>
    <row r="180" spans="1:19">
      <c r="A180" s="19">
        <f t="shared" si="16"/>
        <v>42916</v>
      </c>
      <c r="B180" s="19">
        <f t="shared" si="15"/>
        <v>43280</v>
      </c>
      <c r="C180" s="86">
        <f t="shared" si="17"/>
        <v>0.2462</v>
      </c>
      <c r="D180" s="86">
        <f t="shared" si="18"/>
        <v>0.26619999999999999</v>
      </c>
      <c r="E180" s="86">
        <f t="shared" si="20"/>
        <v>6.3700000000000007E-2</v>
      </c>
      <c r="F180" s="86">
        <f t="shared" si="19"/>
        <v>2.5000000000000001E-2</v>
      </c>
      <c r="G180" s="87">
        <v>0.252</v>
      </c>
      <c r="H180" s="87">
        <v>0.27200000000000002</v>
      </c>
      <c r="I180" s="87">
        <v>6.7000000000000004E-2</v>
      </c>
      <c r="J180" s="87">
        <v>0.02</v>
      </c>
      <c r="K180" s="25">
        <f>((2/3)*L170)+((10/3)*L182)</f>
        <v>15468</v>
      </c>
      <c r="L180" s="95"/>
      <c r="M180" s="82">
        <f t="shared" si="21"/>
        <v>0.59670000000000001</v>
      </c>
      <c r="N180" s="82">
        <v>0.26</v>
      </c>
      <c r="O180" s="82">
        <f t="shared" si="22"/>
        <v>0.60670000000000002</v>
      </c>
      <c r="P180" s="82">
        <v>0.34620000000000001</v>
      </c>
      <c r="Q180" s="82">
        <v>0.69640000000000002</v>
      </c>
      <c r="R180" s="82">
        <v>0.57999999999999996</v>
      </c>
      <c r="S180" s="82">
        <v>0.59</v>
      </c>
    </row>
    <row r="181" spans="1:19">
      <c r="A181" s="19">
        <f t="shared" si="16"/>
        <v>42947</v>
      </c>
      <c r="B181" s="19">
        <f t="shared" si="15"/>
        <v>43311</v>
      </c>
      <c r="C181" s="83">
        <f t="shared" si="17"/>
        <v>0.24560000000000001</v>
      </c>
      <c r="D181" s="83">
        <f t="shared" si="18"/>
        <v>0.2656</v>
      </c>
      <c r="E181" s="83">
        <f t="shared" si="20"/>
        <v>6.3299999999999995E-2</v>
      </c>
      <c r="F181" s="83">
        <f t="shared" si="19"/>
        <v>2.5499999999999998E-2</v>
      </c>
      <c r="G181" s="87">
        <v>0.252</v>
      </c>
      <c r="H181" s="87">
        <v>0.27200000000000002</v>
      </c>
      <c r="I181" s="87">
        <v>6.7000000000000004E-2</v>
      </c>
      <c r="J181" s="87">
        <v>0.02</v>
      </c>
      <c r="K181" s="25">
        <f>((1/3)*L170)+((11/3)*L182)</f>
        <v>15468</v>
      </c>
      <c r="L181" s="95"/>
      <c r="M181" s="82">
        <f t="shared" si="21"/>
        <v>0.59830000000000005</v>
      </c>
      <c r="N181" s="82">
        <v>0.26</v>
      </c>
      <c r="O181" s="82">
        <f t="shared" si="22"/>
        <v>0.60829999999999995</v>
      </c>
      <c r="P181" s="82">
        <v>0.34620000000000001</v>
      </c>
      <c r="Q181" s="82">
        <v>0.69640000000000002</v>
      </c>
      <c r="R181" s="82">
        <v>0.57999999999999996</v>
      </c>
      <c r="S181" s="82">
        <v>0.59</v>
      </c>
    </row>
    <row r="182" spans="1:19" s="80" customFormat="1">
      <c r="A182" s="79">
        <f t="shared" si="16"/>
        <v>42978</v>
      </c>
      <c r="B182" s="79">
        <f t="shared" si="15"/>
        <v>43342</v>
      </c>
      <c r="C182" s="88">
        <f t="shared" si="17"/>
        <v>0.245</v>
      </c>
      <c r="D182" s="88">
        <f t="shared" si="18"/>
        <v>0.26500000000000001</v>
      </c>
      <c r="E182" s="88">
        <f t="shared" si="20"/>
        <v>6.3E-2</v>
      </c>
      <c r="F182" s="88">
        <f t="shared" si="19"/>
        <v>2.5999999999999999E-2</v>
      </c>
      <c r="G182" s="89">
        <v>0.245</v>
      </c>
      <c r="H182" s="89">
        <v>0.26500000000000001</v>
      </c>
      <c r="I182" s="89">
        <v>6.3E-2</v>
      </c>
      <c r="J182" s="89">
        <v>2.5999999999999999E-2</v>
      </c>
      <c r="K182" s="78">
        <f>(L182*4)</f>
        <v>15468</v>
      </c>
      <c r="L182" s="96">
        <v>3867</v>
      </c>
      <c r="M182" s="355">
        <f t="shared" si="21"/>
        <v>0.6</v>
      </c>
      <c r="N182" s="355">
        <v>0.26</v>
      </c>
      <c r="O182" s="355">
        <f t="shared" si="22"/>
        <v>0.61</v>
      </c>
      <c r="P182" s="355">
        <v>0.34620000000000001</v>
      </c>
      <c r="Q182" s="355">
        <v>0.69640000000000002</v>
      </c>
      <c r="R182" s="355">
        <v>0.6</v>
      </c>
      <c r="S182" s="355">
        <v>0.61</v>
      </c>
    </row>
    <row r="183" spans="1:19" s="80" customFormat="1">
      <c r="A183" s="79">
        <f t="shared" si="16"/>
        <v>43008</v>
      </c>
      <c r="B183" s="79">
        <f t="shared" si="15"/>
        <v>43372</v>
      </c>
      <c r="C183" s="88">
        <f t="shared" si="17"/>
        <v>0.24629999999999999</v>
      </c>
      <c r="D183" s="88">
        <f t="shared" si="18"/>
        <v>0.26619999999999999</v>
      </c>
      <c r="E183" s="88">
        <f t="shared" si="20"/>
        <v>6.2799999999999995E-2</v>
      </c>
      <c r="F183" s="88">
        <f t="shared" si="19"/>
        <v>2.5999999999999999E-2</v>
      </c>
      <c r="G183" s="89">
        <v>0.245</v>
      </c>
      <c r="H183" s="89">
        <v>0.26500000000000001</v>
      </c>
      <c r="I183" s="89">
        <v>6.3E-2</v>
      </c>
      <c r="J183" s="89">
        <v>2.5999999999999999E-2</v>
      </c>
      <c r="K183" s="78">
        <f>((11/3)*L182)+((1/3)*L194)</f>
        <v>15513</v>
      </c>
      <c r="L183" s="96"/>
      <c r="M183" s="355">
        <f t="shared" si="21"/>
        <v>0.6</v>
      </c>
      <c r="N183" s="355">
        <v>0.26</v>
      </c>
      <c r="O183" s="355">
        <f t="shared" si="22"/>
        <v>0.61</v>
      </c>
      <c r="P183" s="355">
        <v>0.34620000000000001</v>
      </c>
      <c r="Q183" s="355">
        <v>0.69640000000000002</v>
      </c>
      <c r="R183" s="355">
        <v>0.6</v>
      </c>
      <c r="S183" s="355">
        <v>0.61</v>
      </c>
    </row>
    <row r="184" spans="1:19" s="80" customFormat="1">
      <c r="A184" s="79">
        <f t="shared" si="16"/>
        <v>43039</v>
      </c>
      <c r="B184" s="79">
        <f t="shared" si="15"/>
        <v>43403</v>
      </c>
      <c r="C184" s="88">
        <f t="shared" si="17"/>
        <v>0.2475</v>
      </c>
      <c r="D184" s="88">
        <f t="shared" si="18"/>
        <v>0.26729999999999998</v>
      </c>
      <c r="E184" s="88">
        <f t="shared" si="20"/>
        <v>6.2700000000000006E-2</v>
      </c>
      <c r="F184" s="88">
        <f t="shared" si="19"/>
        <v>2.5999999999999999E-2</v>
      </c>
      <c r="G184" s="89">
        <v>0.245</v>
      </c>
      <c r="H184" s="89">
        <v>0.26500000000000001</v>
      </c>
      <c r="I184" s="89">
        <v>6.3E-2</v>
      </c>
      <c r="J184" s="89">
        <v>2.5999999999999999E-2</v>
      </c>
      <c r="K184" s="78">
        <f>((10/3)*L182)+((2/3)*L194)</f>
        <v>15558</v>
      </c>
      <c r="L184" s="96"/>
      <c r="M184" s="355">
        <f t="shared" si="21"/>
        <v>0.6</v>
      </c>
      <c r="N184" s="355">
        <v>0.26</v>
      </c>
      <c r="O184" s="355">
        <f t="shared" si="22"/>
        <v>0.61</v>
      </c>
      <c r="P184" s="355">
        <v>0.34620000000000001</v>
      </c>
      <c r="Q184" s="355">
        <v>0.69640000000000002</v>
      </c>
      <c r="R184" s="355">
        <v>0.6</v>
      </c>
      <c r="S184" s="355">
        <v>0.61</v>
      </c>
    </row>
    <row r="185" spans="1:19" s="80" customFormat="1">
      <c r="A185" s="79">
        <f t="shared" si="16"/>
        <v>43069</v>
      </c>
      <c r="B185" s="79">
        <f t="shared" si="15"/>
        <v>43433</v>
      </c>
      <c r="C185" s="88">
        <f t="shared" si="17"/>
        <v>0.24879999999999999</v>
      </c>
      <c r="D185" s="88">
        <f t="shared" si="18"/>
        <v>0.26850000000000002</v>
      </c>
      <c r="E185" s="88">
        <f t="shared" si="20"/>
        <v>6.25E-2</v>
      </c>
      <c r="F185" s="88">
        <f t="shared" si="19"/>
        <v>2.5999999999999999E-2</v>
      </c>
      <c r="G185" s="89">
        <v>0.245</v>
      </c>
      <c r="H185" s="89">
        <v>0.26500000000000001</v>
      </c>
      <c r="I185" s="89">
        <v>6.3E-2</v>
      </c>
      <c r="J185" s="89">
        <v>2.5999999999999999E-2</v>
      </c>
      <c r="K185" s="78">
        <f>((9/3)*L182)+((3/3)*L194)</f>
        <v>15603</v>
      </c>
      <c r="L185" s="96"/>
      <c r="M185" s="355">
        <f t="shared" si="21"/>
        <v>0.6</v>
      </c>
      <c r="N185" s="355">
        <v>0.26</v>
      </c>
      <c r="O185" s="355">
        <f t="shared" si="22"/>
        <v>0.61</v>
      </c>
      <c r="P185" s="355">
        <v>0.34620000000000001</v>
      </c>
      <c r="Q185" s="355">
        <v>0.69640000000000002</v>
      </c>
      <c r="R185" s="355">
        <v>0.6</v>
      </c>
      <c r="S185" s="355">
        <v>0.61</v>
      </c>
    </row>
    <row r="186" spans="1:19" s="80" customFormat="1">
      <c r="A186" s="79">
        <f t="shared" si="16"/>
        <v>43100</v>
      </c>
      <c r="B186" s="79">
        <f t="shared" si="15"/>
        <v>43464</v>
      </c>
      <c r="C186" s="88">
        <f t="shared" si="17"/>
        <v>0.25</v>
      </c>
      <c r="D186" s="88">
        <f t="shared" si="18"/>
        <v>0.2697</v>
      </c>
      <c r="E186" s="88">
        <f t="shared" si="20"/>
        <v>6.2300000000000001E-2</v>
      </c>
      <c r="F186" s="88">
        <f t="shared" si="19"/>
        <v>2.5999999999999999E-2</v>
      </c>
      <c r="G186" s="89">
        <v>0.245</v>
      </c>
      <c r="H186" s="89">
        <v>0.26500000000000001</v>
      </c>
      <c r="I186" s="89">
        <v>6.3E-2</v>
      </c>
      <c r="J186" s="89">
        <v>2.5999999999999999E-2</v>
      </c>
      <c r="K186" s="78">
        <f>((8/3)*L182)+((4/3)*L194)</f>
        <v>15648</v>
      </c>
      <c r="L186" s="96"/>
      <c r="M186" s="355">
        <f t="shared" si="21"/>
        <v>0.6</v>
      </c>
      <c r="N186" s="355">
        <v>0.26</v>
      </c>
      <c r="O186" s="355">
        <f t="shared" si="22"/>
        <v>0.61</v>
      </c>
      <c r="P186" s="355">
        <v>0.34620000000000001</v>
      </c>
      <c r="Q186" s="355">
        <v>0.69640000000000002</v>
      </c>
      <c r="R186" s="355">
        <v>0.6</v>
      </c>
      <c r="S186" s="355">
        <v>0.61</v>
      </c>
    </row>
    <row r="187" spans="1:19" s="80" customFormat="1">
      <c r="A187" s="79">
        <f t="shared" si="16"/>
        <v>43131</v>
      </c>
      <c r="B187" s="79">
        <f t="shared" si="15"/>
        <v>43495</v>
      </c>
      <c r="C187" s="88">
        <f t="shared" si="17"/>
        <v>0.25130000000000002</v>
      </c>
      <c r="D187" s="88">
        <f t="shared" si="18"/>
        <v>0.27079999999999999</v>
      </c>
      <c r="E187" s="88">
        <f t="shared" si="20"/>
        <v>6.2199999999999998E-2</v>
      </c>
      <c r="F187" s="88">
        <f t="shared" si="19"/>
        <v>2.5999999999999999E-2</v>
      </c>
      <c r="G187" s="89">
        <v>0.245</v>
      </c>
      <c r="H187" s="89">
        <v>0.26500000000000001</v>
      </c>
      <c r="I187" s="89">
        <v>6.3E-2</v>
      </c>
      <c r="J187" s="89">
        <v>2.5999999999999999E-2</v>
      </c>
      <c r="K187" s="78">
        <f>((7/3)*L182)+((5/3)*L194)</f>
        <v>15693</v>
      </c>
      <c r="L187" s="96"/>
      <c r="M187" s="355">
        <f t="shared" si="21"/>
        <v>0.6</v>
      </c>
      <c r="N187" s="355">
        <v>0.26</v>
      </c>
      <c r="O187" s="355">
        <f t="shared" si="22"/>
        <v>0.61</v>
      </c>
      <c r="P187" s="355">
        <v>0.34620000000000001</v>
      </c>
      <c r="Q187" s="355">
        <v>0.69640000000000002</v>
      </c>
      <c r="R187" s="355">
        <v>0.6</v>
      </c>
      <c r="S187" s="355">
        <v>0.61</v>
      </c>
    </row>
    <row r="188" spans="1:19" s="80" customFormat="1">
      <c r="A188" s="79">
        <f t="shared" si="16"/>
        <v>43159</v>
      </c>
      <c r="B188" s="79">
        <f t="shared" si="15"/>
        <v>43523</v>
      </c>
      <c r="C188" s="88">
        <f t="shared" si="17"/>
        <v>0.2525</v>
      </c>
      <c r="D188" s="88">
        <f t="shared" si="18"/>
        <v>0.27200000000000002</v>
      </c>
      <c r="E188" s="88">
        <f t="shared" si="20"/>
        <v>6.2E-2</v>
      </c>
      <c r="F188" s="88">
        <f t="shared" si="19"/>
        <v>2.5999999999999999E-2</v>
      </c>
      <c r="G188" s="89">
        <v>0.245</v>
      </c>
      <c r="H188" s="89">
        <v>0.26500000000000001</v>
      </c>
      <c r="I188" s="89">
        <v>6.3E-2</v>
      </c>
      <c r="J188" s="89">
        <v>2.5999999999999999E-2</v>
      </c>
      <c r="K188" s="78">
        <f>((6/3)*L182)+((6/3)*L194)</f>
        <v>15738</v>
      </c>
      <c r="L188" s="96"/>
      <c r="M188" s="355">
        <f t="shared" si="21"/>
        <v>0.6</v>
      </c>
      <c r="N188" s="355">
        <v>0.26</v>
      </c>
      <c r="O188" s="355">
        <f t="shared" si="22"/>
        <v>0.61</v>
      </c>
      <c r="P188" s="355">
        <v>0.34620000000000001</v>
      </c>
      <c r="Q188" s="355">
        <v>0.69640000000000002</v>
      </c>
      <c r="R188" s="355">
        <v>0.6</v>
      </c>
      <c r="S188" s="355">
        <v>0.61</v>
      </c>
    </row>
    <row r="189" spans="1:19" s="80" customFormat="1">
      <c r="A189" s="79">
        <f t="shared" si="16"/>
        <v>43190</v>
      </c>
      <c r="B189" s="79">
        <f t="shared" si="15"/>
        <v>43554</v>
      </c>
      <c r="C189" s="88">
        <f t="shared" si="17"/>
        <v>0.25380000000000003</v>
      </c>
      <c r="D189" s="88">
        <f t="shared" si="18"/>
        <v>0.2732</v>
      </c>
      <c r="E189" s="88">
        <f t="shared" si="20"/>
        <v>6.1800000000000001E-2</v>
      </c>
      <c r="F189" s="88">
        <f t="shared" si="19"/>
        <v>2.5999999999999999E-2</v>
      </c>
      <c r="G189" s="89">
        <v>0.245</v>
      </c>
      <c r="H189" s="89">
        <v>0.26500000000000001</v>
      </c>
      <c r="I189" s="89">
        <v>6.3E-2</v>
      </c>
      <c r="J189" s="89">
        <v>2.5999999999999999E-2</v>
      </c>
      <c r="K189" s="78">
        <f>((5/3)*L182)+((7/3)*L194)</f>
        <v>15783</v>
      </c>
      <c r="L189" s="96"/>
      <c r="M189" s="355">
        <f t="shared" si="21"/>
        <v>0.6</v>
      </c>
      <c r="N189" s="355">
        <v>0.26</v>
      </c>
      <c r="O189" s="355">
        <f t="shared" si="22"/>
        <v>0.61</v>
      </c>
      <c r="P189" s="355">
        <v>0.34620000000000001</v>
      </c>
      <c r="Q189" s="355">
        <v>0.69640000000000002</v>
      </c>
      <c r="R189" s="355">
        <v>0.6</v>
      </c>
      <c r="S189" s="355">
        <v>0.61</v>
      </c>
    </row>
    <row r="190" spans="1:19" s="80" customFormat="1">
      <c r="A190" s="79">
        <f t="shared" si="16"/>
        <v>43220</v>
      </c>
      <c r="B190" s="79">
        <f t="shared" si="15"/>
        <v>43584</v>
      </c>
      <c r="C190" s="88">
        <f t="shared" si="17"/>
        <v>0.255</v>
      </c>
      <c r="D190" s="88">
        <f t="shared" si="18"/>
        <v>0.27429999999999999</v>
      </c>
      <c r="E190" s="88">
        <f t="shared" si="20"/>
        <v>6.1699999999999998E-2</v>
      </c>
      <c r="F190" s="88">
        <f t="shared" si="19"/>
        <v>2.5999999999999999E-2</v>
      </c>
      <c r="G190" s="89">
        <v>0.245</v>
      </c>
      <c r="H190" s="89">
        <v>0.26500000000000001</v>
      </c>
      <c r="I190" s="89">
        <v>6.3E-2</v>
      </c>
      <c r="J190" s="89">
        <v>2.5999999999999999E-2</v>
      </c>
      <c r="K190" s="78">
        <f>((4/3)*L182)+((8/3)*L194)</f>
        <v>15828</v>
      </c>
      <c r="L190" s="96"/>
      <c r="M190" s="355">
        <f t="shared" si="21"/>
        <v>0.6</v>
      </c>
      <c r="N190" s="355">
        <v>0.26</v>
      </c>
      <c r="O190" s="355">
        <f t="shared" si="22"/>
        <v>0.61</v>
      </c>
      <c r="P190" s="355">
        <v>0.34620000000000001</v>
      </c>
      <c r="Q190" s="355">
        <v>0.69640000000000002</v>
      </c>
      <c r="R190" s="355">
        <v>0.6</v>
      </c>
      <c r="S190" s="355">
        <v>0.61</v>
      </c>
    </row>
    <row r="191" spans="1:19" s="80" customFormat="1">
      <c r="A191" s="79">
        <f t="shared" si="16"/>
        <v>43251</v>
      </c>
      <c r="B191" s="79">
        <f t="shared" si="15"/>
        <v>43615</v>
      </c>
      <c r="C191" s="88">
        <f t="shared" si="17"/>
        <v>0.25629999999999997</v>
      </c>
      <c r="D191" s="88">
        <f t="shared" si="18"/>
        <v>0.27550000000000002</v>
      </c>
      <c r="E191" s="88">
        <f t="shared" si="20"/>
        <v>6.1499999999999999E-2</v>
      </c>
      <c r="F191" s="88">
        <f t="shared" si="19"/>
        <v>2.5999999999999999E-2</v>
      </c>
      <c r="G191" s="89">
        <v>0.245</v>
      </c>
      <c r="H191" s="89">
        <v>0.26500000000000001</v>
      </c>
      <c r="I191" s="89">
        <v>6.3E-2</v>
      </c>
      <c r="J191" s="89">
        <v>2.5999999999999999E-2</v>
      </c>
      <c r="K191" s="78">
        <f>((3/3)*L182)+((9/3)*L194)</f>
        <v>15873</v>
      </c>
      <c r="L191" s="96"/>
      <c r="M191" s="355">
        <f t="shared" si="21"/>
        <v>0.6</v>
      </c>
      <c r="N191" s="355">
        <v>0.26</v>
      </c>
      <c r="O191" s="355">
        <f t="shared" si="22"/>
        <v>0.61</v>
      </c>
      <c r="P191" s="355">
        <v>0.34620000000000001</v>
      </c>
      <c r="Q191" s="355">
        <v>0.69640000000000002</v>
      </c>
      <c r="R191" s="355">
        <v>0.6</v>
      </c>
      <c r="S191" s="355">
        <v>0.61</v>
      </c>
    </row>
    <row r="192" spans="1:19" s="80" customFormat="1">
      <c r="A192" s="79">
        <f t="shared" si="16"/>
        <v>43281</v>
      </c>
      <c r="B192" s="79">
        <f t="shared" si="15"/>
        <v>43645</v>
      </c>
      <c r="C192" s="88">
        <f t="shared" si="17"/>
        <v>0.25750000000000001</v>
      </c>
      <c r="D192" s="88">
        <f t="shared" si="18"/>
        <v>0.2767</v>
      </c>
      <c r="E192" s="88">
        <f t="shared" si="20"/>
        <v>6.13E-2</v>
      </c>
      <c r="F192" s="88">
        <f t="shared" si="19"/>
        <v>2.5999999999999999E-2</v>
      </c>
      <c r="G192" s="89">
        <v>0.245</v>
      </c>
      <c r="H192" s="89">
        <v>0.26500000000000001</v>
      </c>
      <c r="I192" s="89">
        <v>6.3E-2</v>
      </c>
      <c r="J192" s="89">
        <v>2.5999999999999999E-2</v>
      </c>
      <c r="K192" s="78">
        <f>((2/3)*L182)+((10/3)*L194)</f>
        <v>15918</v>
      </c>
      <c r="L192" s="96"/>
      <c r="M192" s="355">
        <f t="shared" si="21"/>
        <v>0.6</v>
      </c>
      <c r="N192" s="355">
        <v>0.26</v>
      </c>
      <c r="O192" s="355">
        <f t="shared" si="22"/>
        <v>0.61</v>
      </c>
      <c r="P192" s="355">
        <v>0.34620000000000001</v>
      </c>
      <c r="Q192" s="355">
        <v>0.69640000000000002</v>
      </c>
      <c r="R192" s="355">
        <v>0.6</v>
      </c>
      <c r="S192" s="355">
        <v>0.61</v>
      </c>
    </row>
    <row r="193" spans="1:19" s="80" customFormat="1">
      <c r="A193" s="79">
        <f t="shared" si="16"/>
        <v>43312</v>
      </c>
      <c r="B193" s="79">
        <f t="shared" si="15"/>
        <v>43676</v>
      </c>
      <c r="C193" s="88">
        <f t="shared" si="17"/>
        <v>0.25879999999999997</v>
      </c>
      <c r="D193" s="88">
        <f t="shared" si="18"/>
        <v>0.27779999999999999</v>
      </c>
      <c r="E193" s="88">
        <f t="shared" si="20"/>
        <v>6.1199999999999997E-2</v>
      </c>
      <c r="F193" s="88">
        <f t="shared" si="19"/>
        <v>2.5999999999999999E-2</v>
      </c>
      <c r="G193" s="89">
        <v>0.245</v>
      </c>
      <c r="H193" s="89">
        <v>0.26500000000000001</v>
      </c>
      <c r="I193" s="89">
        <v>6.3E-2</v>
      </c>
      <c r="J193" s="89">
        <v>2.5999999999999999E-2</v>
      </c>
      <c r="K193" s="78">
        <f>((1/3)*L182)+((11/3)*L194)</f>
        <v>15963</v>
      </c>
      <c r="L193" s="96"/>
      <c r="M193" s="355">
        <f t="shared" si="21"/>
        <v>0.6</v>
      </c>
      <c r="N193" s="355">
        <v>0.26</v>
      </c>
      <c r="O193" s="355">
        <f t="shared" si="22"/>
        <v>0.61</v>
      </c>
      <c r="P193" s="355">
        <v>0.34620000000000001</v>
      </c>
      <c r="Q193" s="355">
        <v>0.69640000000000002</v>
      </c>
      <c r="R193" s="355">
        <v>0.6</v>
      </c>
      <c r="S193" s="355">
        <v>0.61</v>
      </c>
    </row>
    <row r="194" spans="1:19">
      <c r="A194" s="19">
        <f t="shared" si="16"/>
        <v>43343</v>
      </c>
      <c r="B194" s="19">
        <f t="shared" ref="B194:B257" si="23">EDATE(A194,12)-1</f>
        <v>43707</v>
      </c>
      <c r="C194" s="86">
        <f t="shared" si="17"/>
        <v>0.26</v>
      </c>
      <c r="D194" s="86">
        <f t="shared" si="18"/>
        <v>0.27900000000000003</v>
      </c>
      <c r="E194" s="86">
        <f t="shared" si="20"/>
        <v>6.0999999999999999E-2</v>
      </c>
      <c r="F194" s="86">
        <f t="shared" si="19"/>
        <v>2.5999999999999999E-2</v>
      </c>
      <c r="G194" s="87">
        <v>0.26</v>
      </c>
      <c r="H194" s="87">
        <v>0.27900000000000003</v>
      </c>
      <c r="I194" s="87">
        <v>6.0999999999999999E-2</v>
      </c>
      <c r="J194" s="87">
        <v>2.5999999999999999E-2</v>
      </c>
      <c r="K194" s="25">
        <f>(L194*4)</f>
        <v>16008</v>
      </c>
      <c r="L194" s="576">
        <v>4002</v>
      </c>
      <c r="M194" s="82">
        <f t="shared" si="21"/>
        <v>0.6</v>
      </c>
      <c r="N194" s="82">
        <v>0.26</v>
      </c>
      <c r="O194" s="82">
        <f t="shared" si="22"/>
        <v>0.61</v>
      </c>
      <c r="P194" s="82">
        <v>0.34620000000000001</v>
      </c>
      <c r="Q194" s="82">
        <v>0.69640000000000002</v>
      </c>
      <c r="R194" s="82">
        <v>0.6</v>
      </c>
      <c r="S194" s="82">
        <v>0.61</v>
      </c>
    </row>
    <row r="195" spans="1:19">
      <c r="A195" s="19">
        <f t="shared" ref="A195:A258" si="24">EDATE(A194,1)</f>
        <v>43373</v>
      </c>
      <c r="B195" s="19">
        <f t="shared" si="23"/>
        <v>43737</v>
      </c>
      <c r="C195" s="86">
        <f t="shared" ref="C195:F210" si="25">AVERAGE(G195:G206)</f>
        <v>0.26</v>
      </c>
      <c r="D195" s="86">
        <f t="shared" si="25"/>
        <v>0.27900000000000003</v>
      </c>
      <c r="E195" s="86">
        <f t="shared" si="20"/>
        <v>6.0999999999999999E-2</v>
      </c>
      <c r="F195" s="86">
        <f t="shared" si="19"/>
        <v>2.5999999999999999E-2</v>
      </c>
      <c r="G195" s="87">
        <v>0.26</v>
      </c>
      <c r="H195" s="87">
        <v>0.27900000000000003</v>
      </c>
      <c r="I195" s="87">
        <v>6.0999999999999999E-2</v>
      </c>
      <c r="J195" s="87">
        <v>2.5999999999999999E-2</v>
      </c>
      <c r="K195" s="25">
        <f>((11/3)*L194)+((1/3)*L206)</f>
        <v>16075</v>
      </c>
      <c r="L195" s="95"/>
      <c r="M195" s="82">
        <f t="shared" si="21"/>
        <v>0.6</v>
      </c>
      <c r="N195" s="82">
        <v>0.26</v>
      </c>
      <c r="O195" s="82">
        <f t="shared" si="22"/>
        <v>0.61</v>
      </c>
      <c r="P195" s="82">
        <v>0.34620000000000001</v>
      </c>
      <c r="Q195" s="82">
        <v>0.69640000000000002</v>
      </c>
      <c r="R195" s="82">
        <v>0.6</v>
      </c>
      <c r="S195" s="82">
        <v>0.61</v>
      </c>
    </row>
    <row r="196" spans="1:19">
      <c r="A196" s="19">
        <f t="shared" si="24"/>
        <v>43404</v>
      </c>
      <c r="B196" s="19">
        <f t="shared" si="23"/>
        <v>43768</v>
      </c>
      <c r="C196" s="86">
        <f t="shared" si="25"/>
        <v>0.26</v>
      </c>
      <c r="D196" s="86">
        <f t="shared" si="25"/>
        <v>0.27900000000000003</v>
      </c>
      <c r="E196" s="86">
        <f t="shared" si="20"/>
        <v>6.0999999999999999E-2</v>
      </c>
      <c r="F196" s="86">
        <f t="shared" si="20"/>
        <v>2.5999999999999999E-2</v>
      </c>
      <c r="G196" s="87">
        <v>0.26</v>
      </c>
      <c r="H196" s="87">
        <v>0.27900000000000003</v>
      </c>
      <c r="I196" s="87">
        <v>6.0999999999999999E-2</v>
      </c>
      <c r="J196" s="87">
        <v>2.5999999999999999E-2</v>
      </c>
      <c r="K196" s="25">
        <f>((10/3)*L194)+((2/3)*L206)</f>
        <v>16141</v>
      </c>
      <c r="L196" s="95"/>
      <c r="M196" s="82">
        <f t="shared" si="21"/>
        <v>0.6</v>
      </c>
      <c r="N196" s="82">
        <v>0.26</v>
      </c>
      <c r="O196" s="82">
        <f t="shared" si="22"/>
        <v>0.61</v>
      </c>
      <c r="P196" s="82">
        <v>0.34620000000000001</v>
      </c>
      <c r="Q196" s="82">
        <v>0.69640000000000002</v>
      </c>
      <c r="R196" s="82">
        <v>0.6</v>
      </c>
      <c r="S196" s="82">
        <v>0.61</v>
      </c>
    </row>
    <row r="197" spans="1:19">
      <c r="A197" s="19">
        <f t="shared" si="24"/>
        <v>43434</v>
      </c>
      <c r="B197" s="19">
        <f t="shared" si="23"/>
        <v>43798</v>
      </c>
      <c r="C197" s="86">
        <f t="shared" si="25"/>
        <v>0.26</v>
      </c>
      <c r="D197" s="86">
        <f t="shared" si="25"/>
        <v>0.27900000000000003</v>
      </c>
      <c r="E197" s="86">
        <f t="shared" si="25"/>
        <v>6.0999999999999999E-2</v>
      </c>
      <c r="F197" s="86">
        <f t="shared" si="25"/>
        <v>2.5999999999999999E-2</v>
      </c>
      <c r="G197" s="87">
        <v>0.26</v>
      </c>
      <c r="H197" s="87">
        <v>0.27900000000000003</v>
      </c>
      <c r="I197" s="87">
        <v>6.0999999999999999E-2</v>
      </c>
      <c r="J197" s="87">
        <v>2.5999999999999999E-2</v>
      </c>
      <c r="K197" s="25">
        <f>((9/3)*L194)+((3/3)*L206)</f>
        <v>16208</v>
      </c>
      <c r="L197" s="95"/>
      <c r="M197" s="82">
        <f t="shared" si="21"/>
        <v>0.6</v>
      </c>
      <c r="N197" s="82">
        <v>0.26</v>
      </c>
      <c r="O197" s="82">
        <f t="shared" si="22"/>
        <v>0.61</v>
      </c>
      <c r="P197" s="82">
        <v>0.34620000000000001</v>
      </c>
      <c r="Q197" s="82">
        <v>0.69640000000000002</v>
      </c>
      <c r="R197" s="82">
        <v>0.6</v>
      </c>
      <c r="S197" s="82">
        <v>0.61</v>
      </c>
    </row>
    <row r="198" spans="1:19">
      <c r="A198" s="19">
        <f t="shared" si="24"/>
        <v>43465</v>
      </c>
      <c r="B198" s="19">
        <f t="shared" si="23"/>
        <v>43829</v>
      </c>
      <c r="C198" s="86">
        <f t="shared" si="25"/>
        <v>0.26</v>
      </c>
      <c r="D198" s="86">
        <f t="shared" si="25"/>
        <v>0.27900000000000003</v>
      </c>
      <c r="E198" s="86">
        <f t="shared" si="25"/>
        <v>6.0999999999999999E-2</v>
      </c>
      <c r="F198" s="86">
        <f t="shared" si="25"/>
        <v>2.5999999999999999E-2</v>
      </c>
      <c r="G198" s="87">
        <v>0.26</v>
      </c>
      <c r="H198" s="87">
        <v>0.27900000000000003</v>
      </c>
      <c r="I198" s="87">
        <v>6.0999999999999999E-2</v>
      </c>
      <c r="J198" s="87">
        <v>2.5999999999999999E-2</v>
      </c>
      <c r="K198" s="25">
        <f>((8/3)*L194)+((4/3)*L206)</f>
        <v>16275</v>
      </c>
      <c r="L198" s="95"/>
      <c r="M198" s="82">
        <f t="shared" si="21"/>
        <v>0.6</v>
      </c>
      <c r="N198" s="82">
        <v>0.26</v>
      </c>
      <c r="O198" s="82">
        <f t="shared" si="22"/>
        <v>0.61</v>
      </c>
      <c r="P198" s="82">
        <v>0.34620000000000001</v>
      </c>
      <c r="Q198" s="82">
        <v>0.69640000000000002</v>
      </c>
      <c r="R198" s="82">
        <v>0.6</v>
      </c>
      <c r="S198" s="82">
        <v>0.61</v>
      </c>
    </row>
    <row r="199" spans="1:19">
      <c r="A199" s="19">
        <f t="shared" si="24"/>
        <v>43496</v>
      </c>
      <c r="B199" s="19">
        <f t="shared" si="23"/>
        <v>43860</v>
      </c>
      <c r="C199" s="86">
        <f t="shared" si="25"/>
        <v>0.26</v>
      </c>
      <c r="D199" s="86">
        <f t="shared" si="25"/>
        <v>0.27900000000000003</v>
      </c>
      <c r="E199" s="86">
        <f t="shared" si="25"/>
        <v>6.0999999999999999E-2</v>
      </c>
      <c r="F199" s="86">
        <f t="shared" si="25"/>
        <v>2.5999999999999999E-2</v>
      </c>
      <c r="G199" s="87">
        <v>0.26</v>
      </c>
      <c r="H199" s="87">
        <v>0.27900000000000003</v>
      </c>
      <c r="I199" s="87">
        <v>6.0999999999999999E-2</v>
      </c>
      <c r="J199" s="87">
        <v>2.5999999999999999E-2</v>
      </c>
      <c r="K199" s="25">
        <f>((7/3)*L194)+((5/3)*L206)</f>
        <v>16342</v>
      </c>
      <c r="L199" s="95"/>
      <c r="M199" s="82">
        <f t="shared" si="21"/>
        <v>0.6</v>
      </c>
      <c r="N199" s="82">
        <v>0.26</v>
      </c>
      <c r="O199" s="82">
        <f t="shared" si="22"/>
        <v>0.61</v>
      </c>
      <c r="P199" s="82">
        <v>0.34620000000000001</v>
      </c>
      <c r="Q199" s="82">
        <v>0.69640000000000002</v>
      </c>
      <c r="R199" s="82">
        <v>0.6</v>
      </c>
      <c r="S199" s="82">
        <v>0.61</v>
      </c>
    </row>
    <row r="200" spans="1:19">
      <c r="A200" s="19">
        <f t="shared" si="24"/>
        <v>43524</v>
      </c>
      <c r="B200" s="19">
        <f t="shared" si="23"/>
        <v>43889</v>
      </c>
      <c r="C200" s="86">
        <f t="shared" si="25"/>
        <v>0.26</v>
      </c>
      <c r="D200" s="86">
        <f t="shared" si="25"/>
        <v>0.27900000000000003</v>
      </c>
      <c r="E200" s="86">
        <f t="shared" si="25"/>
        <v>6.0999999999999999E-2</v>
      </c>
      <c r="F200" s="86">
        <f t="shared" si="25"/>
        <v>2.5999999999999999E-2</v>
      </c>
      <c r="G200" s="87">
        <v>0.26</v>
      </c>
      <c r="H200" s="87">
        <v>0.27900000000000003</v>
      </c>
      <c r="I200" s="87">
        <v>6.0999999999999999E-2</v>
      </c>
      <c r="J200" s="87">
        <v>2.5999999999999999E-2</v>
      </c>
      <c r="K200" s="25">
        <f>((6/3)*L194)+((6/3)*L206)</f>
        <v>16408</v>
      </c>
      <c r="L200" s="95"/>
      <c r="M200" s="82">
        <f t="shared" si="21"/>
        <v>0.6</v>
      </c>
      <c r="N200" s="82">
        <v>0.26</v>
      </c>
      <c r="O200" s="82">
        <f t="shared" si="22"/>
        <v>0.61</v>
      </c>
      <c r="P200" s="82">
        <v>0.34620000000000001</v>
      </c>
      <c r="Q200" s="82">
        <v>0.69640000000000002</v>
      </c>
      <c r="R200" s="82">
        <v>0.6</v>
      </c>
      <c r="S200" s="82">
        <v>0.61</v>
      </c>
    </row>
    <row r="201" spans="1:19">
      <c r="A201" s="19">
        <f t="shared" si="24"/>
        <v>43555</v>
      </c>
      <c r="B201" s="19">
        <f t="shared" si="23"/>
        <v>43920</v>
      </c>
      <c r="C201" s="86">
        <f t="shared" si="25"/>
        <v>0.26</v>
      </c>
      <c r="D201" s="86">
        <f t="shared" si="25"/>
        <v>0.27900000000000003</v>
      </c>
      <c r="E201" s="86">
        <f t="shared" si="25"/>
        <v>6.0999999999999999E-2</v>
      </c>
      <c r="F201" s="86">
        <f t="shared" si="25"/>
        <v>2.5999999999999999E-2</v>
      </c>
      <c r="G201" s="87">
        <v>0.26</v>
      </c>
      <c r="H201" s="87">
        <v>0.27900000000000003</v>
      </c>
      <c r="I201" s="87">
        <v>6.0999999999999999E-2</v>
      </c>
      <c r="J201" s="87">
        <v>2.5999999999999999E-2</v>
      </c>
      <c r="K201" s="25">
        <f>((5/3)*L194)+((7/3)*L206)</f>
        <v>16475</v>
      </c>
      <c r="L201" s="95"/>
      <c r="M201" s="82">
        <f t="shared" si="21"/>
        <v>0.6</v>
      </c>
      <c r="N201" s="82">
        <v>0.26</v>
      </c>
      <c r="O201" s="82">
        <f t="shared" si="22"/>
        <v>0.61</v>
      </c>
      <c r="P201" s="82">
        <v>0.34620000000000001</v>
      </c>
      <c r="Q201" s="82">
        <v>0.69640000000000002</v>
      </c>
      <c r="R201" s="82">
        <v>0.6</v>
      </c>
      <c r="S201" s="82">
        <v>0.61</v>
      </c>
    </row>
    <row r="202" spans="1:19">
      <c r="A202" s="19">
        <f t="shared" si="24"/>
        <v>43585</v>
      </c>
      <c r="B202" s="19">
        <f t="shared" si="23"/>
        <v>43950</v>
      </c>
      <c r="C202" s="86">
        <f t="shared" si="25"/>
        <v>0.26</v>
      </c>
      <c r="D202" s="86">
        <f t="shared" si="25"/>
        <v>0.27900000000000003</v>
      </c>
      <c r="E202" s="86">
        <f t="shared" si="25"/>
        <v>6.0999999999999999E-2</v>
      </c>
      <c r="F202" s="86">
        <f t="shared" si="25"/>
        <v>2.5999999999999999E-2</v>
      </c>
      <c r="G202" s="87">
        <v>0.26</v>
      </c>
      <c r="H202" s="87">
        <v>0.27900000000000003</v>
      </c>
      <c r="I202" s="87">
        <v>6.0999999999999999E-2</v>
      </c>
      <c r="J202" s="87">
        <v>2.5999999999999999E-2</v>
      </c>
      <c r="K202" s="25">
        <f>((4/3)*L194)+((8/3)*L206)</f>
        <v>16542</v>
      </c>
      <c r="L202" s="95"/>
      <c r="M202" s="82">
        <f t="shared" si="21"/>
        <v>0.6</v>
      </c>
      <c r="N202" s="82">
        <v>0.26</v>
      </c>
      <c r="O202" s="82">
        <f t="shared" si="22"/>
        <v>0.61</v>
      </c>
      <c r="P202" s="82">
        <v>0.34620000000000001</v>
      </c>
      <c r="Q202" s="82">
        <v>0.69640000000000002</v>
      </c>
      <c r="R202" s="82">
        <v>0.6</v>
      </c>
      <c r="S202" s="82">
        <v>0.61</v>
      </c>
    </row>
    <row r="203" spans="1:19">
      <c r="A203" s="19">
        <f t="shared" si="24"/>
        <v>43616</v>
      </c>
      <c r="B203" s="19">
        <f t="shared" si="23"/>
        <v>43981</v>
      </c>
      <c r="C203" s="86">
        <f t="shared" si="25"/>
        <v>0.26</v>
      </c>
      <c r="D203" s="86">
        <f t="shared" si="25"/>
        <v>0.27900000000000003</v>
      </c>
      <c r="E203" s="86">
        <f t="shared" si="25"/>
        <v>6.0999999999999999E-2</v>
      </c>
      <c r="F203" s="86">
        <f t="shared" si="25"/>
        <v>2.5999999999999999E-2</v>
      </c>
      <c r="G203" s="87">
        <v>0.26</v>
      </c>
      <c r="H203" s="87">
        <v>0.27900000000000003</v>
      </c>
      <c r="I203" s="87">
        <v>6.0999999999999999E-2</v>
      </c>
      <c r="J203" s="87">
        <v>2.5999999999999999E-2</v>
      </c>
      <c r="K203" s="25">
        <f>((3/3)*L194)+((9/3)*L206)</f>
        <v>16608</v>
      </c>
      <c r="L203" s="95"/>
      <c r="M203" s="82">
        <f t="shared" si="21"/>
        <v>0.6</v>
      </c>
      <c r="N203" s="82">
        <v>0.26</v>
      </c>
      <c r="O203" s="82">
        <f t="shared" si="22"/>
        <v>0.61</v>
      </c>
      <c r="P203" s="82">
        <v>0.34620000000000001</v>
      </c>
      <c r="Q203" s="82">
        <v>0.69640000000000002</v>
      </c>
      <c r="R203" s="82">
        <v>0.6</v>
      </c>
      <c r="S203" s="82">
        <v>0.61</v>
      </c>
    </row>
    <row r="204" spans="1:19">
      <c r="A204" s="19">
        <f t="shared" si="24"/>
        <v>43646</v>
      </c>
      <c r="B204" s="19">
        <f t="shared" si="23"/>
        <v>44011</v>
      </c>
      <c r="C204" s="86">
        <f t="shared" si="25"/>
        <v>0.26</v>
      </c>
      <c r="D204" s="86">
        <f t="shared" si="25"/>
        <v>0.27900000000000003</v>
      </c>
      <c r="E204" s="86">
        <f t="shared" si="25"/>
        <v>6.0999999999999999E-2</v>
      </c>
      <c r="F204" s="86">
        <f t="shared" si="25"/>
        <v>2.5999999999999999E-2</v>
      </c>
      <c r="G204" s="87">
        <v>0.26</v>
      </c>
      <c r="H204" s="87">
        <v>0.27900000000000003</v>
      </c>
      <c r="I204" s="87">
        <v>6.0999999999999999E-2</v>
      </c>
      <c r="J204" s="87">
        <v>2.5999999999999999E-2</v>
      </c>
      <c r="K204" s="25">
        <f>((2/3)*L194)+((10/3)*L206)</f>
        <v>16675</v>
      </c>
      <c r="L204" s="95"/>
      <c r="M204" s="82">
        <f t="shared" si="21"/>
        <v>0.6</v>
      </c>
      <c r="N204" s="82">
        <v>0.26</v>
      </c>
      <c r="O204" s="82">
        <f t="shared" si="22"/>
        <v>0.61</v>
      </c>
      <c r="P204" s="82">
        <v>0.34620000000000001</v>
      </c>
      <c r="Q204" s="82">
        <v>0.69640000000000002</v>
      </c>
      <c r="R204" s="82">
        <v>0.6</v>
      </c>
      <c r="S204" s="82">
        <v>0.61</v>
      </c>
    </row>
    <row r="205" spans="1:19">
      <c r="A205" s="19">
        <f t="shared" si="24"/>
        <v>43677</v>
      </c>
      <c r="B205" s="19">
        <f t="shared" si="23"/>
        <v>44042</v>
      </c>
      <c r="C205" s="83">
        <f t="shared" si="25"/>
        <v>0.26</v>
      </c>
      <c r="D205" s="83">
        <f t="shared" si="25"/>
        <v>0.27900000000000003</v>
      </c>
      <c r="E205" s="83">
        <f t="shared" si="25"/>
        <v>6.0999999999999999E-2</v>
      </c>
      <c r="F205" s="83">
        <f t="shared" si="25"/>
        <v>2.5999999999999999E-2</v>
      </c>
      <c r="G205" s="87">
        <v>0.26</v>
      </c>
      <c r="H205" s="87">
        <v>0.27900000000000003</v>
      </c>
      <c r="I205" s="87">
        <v>6.0999999999999999E-2</v>
      </c>
      <c r="J205" s="87">
        <v>2.5999999999999999E-2</v>
      </c>
      <c r="K205" s="25">
        <f>((1/3)*L194)+((11/3)*L206)</f>
        <v>16742</v>
      </c>
      <c r="L205" s="95"/>
      <c r="M205" s="82">
        <f t="shared" si="21"/>
        <v>0.6</v>
      </c>
      <c r="N205" s="82">
        <v>0.26</v>
      </c>
      <c r="O205" s="82">
        <f t="shared" si="22"/>
        <v>0.61</v>
      </c>
      <c r="P205" s="82">
        <v>0.34620000000000001</v>
      </c>
      <c r="Q205" s="82">
        <v>0.69640000000000002</v>
      </c>
      <c r="R205" s="82">
        <v>0.6</v>
      </c>
      <c r="S205" s="82">
        <v>0.61</v>
      </c>
    </row>
    <row r="206" spans="1:19" s="80" customFormat="1">
      <c r="A206" s="79">
        <f t="shared" si="24"/>
        <v>43708</v>
      </c>
      <c r="B206" s="79">
        <f t="shared" si="23"/>
        <v>44073</v>
      </c>
      <c r="C206" s="88">
        <f t="shared" si="25"/>
        <v>0.26</v>
      </c>
      <c r="D206" s="88">
        <f t="shared" si="25"/>
        <v>0.27900000000000003</v>
      </c>
      <c r="E206" s="88">
        <f t="shared" si="25"/>
        <v>6.0999999999999999E-2</v>
      </c>
      <c r="F206" s="88">
        <f t="shared" si="25"/>
        <v>2.5999999999999999E-2</v>
      </c>
      <c r="G206" s="89">
        <v>0.26</v>
      </c>
      <c r="H206" s="89">
        <v>0.27900000000000003</v>
      </c>
      <c r="I206" s="89">
        <v>6.0999999999999999E-2</v>
      </c>
      <c r="J206" s="89">
        <v>2.5999999999999999E-2</v>
      </c>
      <c r="K206" s="78">
        <f>(L206*4)</f>
        <v>16808</v>
      </c>
      <c r="L206" s="96">
        <f>L194*1.05</f>
        <v>4202.1000000000004</v>
      </c>
      <c r="M206" s="355">
        <f t="shared" si="21"/>
        <v>0.6</v>
      </c>
      <c r="N206" s="355">
        <v>0.26</v>
      </c>
      <c r="O206" s="355">
        <f t="shared" si="22"/>
        <v>0.61</v>
      </c>
      <c r="P206" s="355">
        <v>0.34620000000000001</v>
      </c>
      <c r="Q206" s="355">
        <v>0.69640000000000002</v>
      </c>
      <c r="R206" s="355">
        <v>0.6</v>
      </c>
      <c r="S206" s="355">
        <v>0.61</v>
      </c>
    </row>
    <row r="207" spans="1:19" s="80" customFormat="1">
      <c r="A207" s="79">
        <f t="shared" si="24"/>
        <v>43738</v>
      </c>
      <c r="B207" s="79">
        <f t="shared" si="23"/>
        <v>44103</v>
      </c>
      <c r="C207" s="88">
        <f t="shared" si="25"/>
        <v>0.26</v>
      </c>
      <c r="D207" s="88">
        <f t="shared" si="25"/>
        <v>0.27900000000000003</v>
      </c>
      <c r="E207" s="88">
        <f t="shared" si="25"/>
        <v>6.0999999999999999E-2</v>
      </c>
      <c r="F207" s="88">
        <f t="shared" si="25"/>
        <v>2.5999999999999999E-2</v>
      </c>
      <c r="G207" s="89">
        <v>0.26</v>
      </c>
      <c r="H207" s="89">
        <v>0.27900000000000003</v>
      </c>
      <c r="I207" s="89">
        <v>6.0999999999999999E-2</v>
      </c>
      <c r="J207" s="89">
        <v>2.5999999999999999E-2</v>
      </c>
      <c r="K207" s="78">
        <f>((11/3)*L206)+((1/3)*L218)</f>
        <v>16878</v>
      </c>
      <c r="L207" s="96"/>
      <c r="M207" s="355">
        <f t="shared" si="21"/>
        <v>0.6</v>
      </c>
      <c r="N207" s="355">
        <v>0.26</v>
      </c>
      <c r="O207" s="355">
        <f t="shared" si="22"/>
        <v>0.61</v>
      </c>
      <c r="P207" s="355">
        <v>0.34620000000000001</v>
      </c>
      <c r="Q207" s="355">
        <v>0.69640000000000002</v>
      </c>
      <c r="R207" s="355">
        <v>0.6</v>
      </c>
      <c r="S207" s="355">
        <v>0.61</v>
      </c>
    </row>
    <row r="208" spans="1:19" s="80" customFormat="1">
      <c r="A208" s="79">
        <f t="shared" si="24"/>
        <v>43769</v>
      </c>
      <c r="B208" s="79">
        <f t="shared" si="23"/>
        <v>44134</v>
      </c>
      <c r="C208" s="88">
        <f t="shared" si="25"/>
        <v>0.26</v>
      </c>
      <c r="D208" s="88">
        <f t="shared" si="25"/>
        <v>0.27900000000000003</v>
      </c>
      <c r="E208" s="88">
        <f t="shared" si="25"/>
        <v>6.0999999999999999E-2</v>
      </c>
      <c r="F208" s="88">
        <f t="shared" si="25"/>
        <v>2.5999999999999999E-2</v>
      </c>
      <c r="G208" s="89">
        <v>0.26</v>
      </c>
      <c r="H208" s="89">
        <v>0.27900000000000003</v>
      </c>
      <c r="I208" s="89">
        <v>6.0999999999999999E-2</v>
      </c>
      <c r="J208" s="89">
        <v>2.5999999999999999E-2</v>
      </c>
      <c r="K208" s="78">
        <f>((10/3)*L206)+((2/3)*L218)</f>
        <v>16948</v>
      </c>
      <c r="L208" s="96"/>
      <c r="M208" s="355">
        <f t="shared" si="21"/>
        <v>0.6</v>
      </c>
      <c r="N208" s="355">
        <v>0.26</v>
      </c>
      <c r="O208" s="355">
        <f t="shared" si="22"/>
        <v>0.61</v>
      </c>
      <c r="P208" s="355">
        <v>0.34620000000000001</v>
      </c>
      <c r="Q208" s="355">
        <v>0.69640000000000002</v>
      </c>
      <c r="R208" s="355">
        <v>0.6</v>
      </c>
      <c r="S208" s="355">
        <v>0.61</v>
      </c>
    </row>
    <row r="209" spans="1:19" s="80" customFormat="1">
      <c r="A209" s="79">
        <f t="shared" si="24"/>
        <v>43799</v>
      </c>
      <c r="B209" s="79">
        <f t="shared" si="23"/>
        <v>44164</v>
      </c>
      <c r="C209" s="88">
        <f t="shared" si="25"/>
        <v>0.26</v>
      </c>
      <c r="D209" s="88">
        <f t="shared" si="25"/>
        <v>0.27900000000000003</v>
      </c>
      <c r="E209" s="88">
        <f t="shared" si="25"/>
        <v>6.0999999999999999E-2</v>
      </c>
      <c r="F209" s="88">
        <f t="shared" si="25"/>
        <v>2.5999999999999999E-2</v>
      </c>
      <c r="G209" s="89">
        <v>0.26</v>
      </c>
      <c r="H209" s="89">
        <v>0.27900000000000003</v>
      </c>
      <c r="I209" s="89">
        <v>6.0999999999999999E-2</v>
      </c>
      <c r="J209" s="89">
        <v>2.5999999999999999E-2</v>
      </c>
      <c r="K209" s="78">
        <f>((9/3)*L206)+((3/3)*L218)</f>
        <v>17019</v>
      </c>
      <c r="L209" s="96"/>
      <c r="M209" s="355">
        <f t="shared" si="21"/>
        <v>0.6</v>
      </c>
      <c r="N209" s="355">
        <v>0.26</v>
      </c>
      <c r="O209" s="355">
        <f t="shared" si="22"/>
        <v>0.61</v>
      </c>
      <c r="P209" s="355">
        <v>0.34620000000000001</v>
      </c>
      <c r="Q209" s="355">
        <v>0.69640000000000002</v>
      </c>
      <c r="R209" s="355">
        <v>0.6</v>
      </c>
      <c r="S209" s="355">
        <v>0.61</v>
      </c>
    </row>
    <row r="210" spans="1:19" s="80" customFormat="1">
      <c r="A210" s="79">
        <f t="shared" si="24"/>
        <v>43830</v>
      </c>
      <c r="B210" s="79">
        <f t="shared" si="23"/>
        <v>44195</v>
      </c>
      <c r="C210" s="88">
        <f t="shared" si="25"/>
        <v>0.26</v>
      </c>
      <c r="D210" s="88">
        <f t="shared" si="25"/>
        <v>0.27900000000000003</v>
      </c>
      <c r="E210" s="88">
        <f t="shared" si="25"/>
        <v>6.0999999999999999E-2</v>
      </c>
      <c r="F210" s="88">
        <f t="shared" si="25"/>
        <v>2.5999999999999999E-2</v>
      </c>
      <c r="G210" s="89">
        <v>0.26</v>
      </c>
      <c r="H210" s="89">
        <v>0.27900000000000003</v>
      </c>
      <c r="I210" s="89">
        <v>6.0999999999999999E-2</v>
      </c>
      <c r="J210" s="89">
        <v>2.5999999999999999E-2</v>
      </c>
      <c r="K210" s="78">
        <f>((8/3)*L206)+((4/3)*L218)</f>
        <v>17089</v>
      </c>
      <c r="L210" s="96"/>
      <c r="M210" s="355">
        <f t="shared" si="21"/>
        <v>0.6</v>
      </c>
      <c r="N210" s="355">
        <v>0.26</v>
      </c>
      <c r="O210" s="355">
        <f t="shared" si="22"/>
        <v>0.61</v>
      </c>
      <c r="P210" s="355">
        <v>0.34620000000000001</v>
      </c>
      <c r="Q210" s="355">
        <v>0.69640000000000002</v>
      </c>
      <c r="R210" s="355">
        <v>0.6</v>
      </c>
      <c r="S210" s="355">
        <v>0.61</v>
      </c>
    </row>
    <row r="211" spans="1:19" s="80" customFormat="1">
      <c r="A211" s="79">
        <f t="shared" si="24"/>
        <v>43861</v>
      </c>
      <c r="B211" s="79">
        <f t="shared" si="23"/>
        <v>44226</v>
      </c>
      <c r="C211" s="88">
        <f t="shared" ref="C211:F226" si="26">AVERAGE(G211:G222)</f>
        <v>0.26</v>
      </c>
      <c r="D211" s="88">
        <f t="shared" si="26"/>
        <v>0.27900000000000003</v>
      </c>
      <c r="E211" s="88">
        <f t="shared" si="26"/>
        <v>6.0999999999999999E-2</v>
      </c>
      <c r="F211" s="88">
        <f t="shared" si="26"/>
        <v>2.5999999999999999E-2</v>
      </c>
      <c r="G211" s="89">
        <v>0.26</v>
      </c>
      <c r="H211" s="89">
        <v>0.27900000000000003</v>
      </c>
      <c r="I211" s="89">
        <v>6.0999999999999999E-2</v>
      </c>
      <c r="J211" s="89">
        <v>2.5999999999999999E-2</v>
      </c>
      <c r="K211" s="78">
        <f>((7/3)*L206)+((5/3)*L218)</f>
        <v>17159</v>
      </c>
      <c r="L211" s="96"/>
      <c r="M211" s="355">
        <f t="shared" si="21"/>
        <v>0.6</v>
      </c>
      <c r="N211" s="355">
        <v>0.26</v>
      </c>
      <c r="O211" s="355">
        <f t="shared" si="22"/>
        <v>0.61</v>
      </c>
      <c r="P211" s="355">
        <v>0.34620000000000001</v>
      </c>
      <c r="Q211" s="355">
        <v>0.69640000000000002</v>
      </c>
      <c r="R211" s="355">
        <v>0.6</v>
      </c>
      <c r="S211" s="355">
        <v>0.61</v>
      </c>
    </row>
    <row r="212" spans="1:19" s="80" customFormat="1">
      <c r="A212" s="79">
        <f t="shared" si="24"/>
        <v>43890</v>
      </c>
      <c r="B212" s="79">
        <f t="shared" si="23"/>
        <v>44254</v>
      </c>
      <c r="C212" s="88">
        <f t="shared" si="26"/>
        <v>0.26</v>
      </c>
      <c r="D212" s="88">
        <f t="shared" si="26"/>
        <v>0.27900000000000003</v>
      </c>
      <c r="E212" s="88">
        <f t="shared" si="26"/>
        <v>6.0999999999999999E-2</v>
      </c>
      <c r="F212" s="88">
        <f t="shared" si="26"/>
        <v>2.5999999999999999E-2</v>
      </c>
      <c r="G212" s="89">
        <v>0.26</v>
      </c>
      <c r="H212" s="89">
        <v>0.27900000000000003</v>
      </c>
      <c r="I212" s="89">
        <v>6.0999999999999999E-2</v>
      </c>
      <c r="J212" s="89">
        <v>2.5999999999999999E-2</v>
      </c>
      <c r="K212" s="78">
        <f>((6/3)*L206)+((6/3)*L218)</f>
        <v>17229</v>
      </c>
      <c r="L212" s="96"/>
      <c r="M212" s="355">
        <f t="shared" si="21"/>
        <v>0.6</v>
      </c>
      <c r="N212" s="355">
        <v>0.26</v>
      </c>
      <c r="O212" s="355">
        <f t="shared" si="22"/>
        <v>0.61</v>
      </c>
      <c r="P212" s="355">
        <v>0.34620000000000001</v>
      </c>
      <c r="Q212" s="355">
        <v>0.69640000000000002</v>
      </c>
      <c r="R212" s="355">
        <v>0.6</v>
      </c>
      <c r="S212" s="355">
        <v>0.61</v>
      </c>
    </row>
    <row r="213" spans="1:19" s="80" customFormat="1">
      <c r="A213" s="79">
        <f t="shared" si="24"/>
        <v>43921</v>
      </c>
      <c r="B213" s="79">
        <f t="shared" si="23"/>
        <v>44285</v>
      </c>
      <c r="C213" s="88">
        <f t="shared" si="26"/>
        <v>0.26</v>
      </c>
      <c r="D213" s="88">
        <f t="shared" si="26"/>
        <v>0.27900000000000003</v>
      </c>
      <c r="E213" s="88">
        <f t="shared" si="26"/>
        <v>6.0999999999999999E-2</v>
      </c>
      <c r="F213" s="88">
        <f t="shared" si="26"/>
        <v>2.5999999999999999E-2</v>
      </c>
      <c r="G213" s="89">
        <v>0.26</v>
      </c>
      <c r="H213" s="89">
        <v>0.27900000000000003</v>
      </c>
      <c r="I213" s="89">
        <v>6.0999999999999999E-2</v>
      </c>
      <c r="J213" s="89">
        <v>2.5999999999999999E-2</v>
      </c>
      <c r="K213" s="78">
        <f>((5/3)*L206)+((7/3)*L218)</f>
        <v>17299</v>
      </c>
      <c r="L213" s="96"/>
      <c r="M213" s="355">
        <f t="shared" si="21"/>
        <v>0.6</v>
      </c>
      <c r="N213" s="355">
        <v>0.26</v>
      </c>
      <c r="O213" s="355">
        <f t="shared" si="22"/>
        <v>0.61</v>
      </c>
      <c r="P213" s="355">
        <v>0.34620000000000001</v>
      </c>
      <c r="Q213" s="355">
        <v>0.69640000000000002</v>
      </c>
      <c r="R213" s="355">
        <v>0.6</v>
      </c>
      <c r="S213" s="355">
        <v>0.61</v>
      </c>
    </row>
    <row r="214" spans="1:19" s="80" customFormat="1">
      <c r="A214" s="79">
        <f t="shared" si="24"/>
        <v>43951</v>
      </c>
      <c r="B214" s="79">
        <f t="shared" si="23"/>
        <v>44315</v>
      </c>
      <c r="C214" s="88">
        <f t="shared" si="26"/>
        <v>0.26</v>
      </c>
      <c r="D214" s="88">
        <f t="shared" si="26"/>
        <v>0.27900000000000003</v>
      </c>
      <c r="E214" s="88">
        <f t="shared" si="26"/>
        <v>6.0999999999999999E-2</v>
      </c>
      <c r="F214" s="88">
        <f t="shared" si="26"/>
        <v>2.5999999999999999E-2</v>
      </c>
      <c r="G214" s="89">
        <v>0.26</v>
      </c>
      <c r="H214" s="89">
        <v>0.27900000000000003</v>
      </c>
      <c r="I214" s="89">
        <v>6.0999999999999999E-2</v>
      </c>
      <c r="J214" s="89">
        <v>2.5999999999999999E-2</v>
      </c>
      <c r="K214" s="78">
        <f>((4/3)*L206)+((8/3)*L218)</f>
        <v>17369</v>
      </c>
      <c r="L214" s="96"/>
      <c r="M214" s="355">
        <f t="shared" si="21"/>
        <v>0.6</v>
      </c>
      <c r="N214" s="355">
        <v>0.26</v>
      </c>
      <c r="O214" s="355">
        <f t="shared" si="22"/>
        <v>0.61</v>
      </c>
      <c r="P214" s="355">
        <v>0.34620000000000001</v>
      </c>
      <c r="Q214" s="355">
        <v>0.69640000000000002</v>
      </c>
      <c r="R214" s="355">
        <v>0.6</v>
      </c>
      <c r="S214" s="355">
        <v>0.61</v>
      </c>
    </row>
    <row r="215" spans="1:19" s="80" customFormat="1">
      <c r="A215" s="79">
        <f t="shared" si="24"/>
        <v>43982</v>
      </c>
      <c r="B215" s="79">
        <f t="shared" si="23"/>
        <v>44346</v>
      </c>
      <c r="C215" s="88">
        <f t="shared" si="26"/>
        <v>0.26</v>
      </c>
      <c r="D215" s="88">
        <f t="shared" si="26"/>
        <v>0.27900000000000003</v>
      </c>
      <c r="E215" s="88">
        <f t="shared" si="26"/>
        <v>6.0999999999999999E-2</v>
      </c>
      <c r="F215" s="88">
        <f t="shared" si="26"/>
        <v>2.5999999999999999E-2</v>
      </c>
      <c r="G215" s="89">
        <v>0.26</v>
      </c>
      <c r="H215" s="89">
        <v>0.27900000000000003</v>
      </c>
      <c r="I215" s="89">
        <v>6.0999999999999999E-2</v>
      </c>
      <c r="J215" s="89">
        <v>2.5999999999999999E-2</v>
      </c>
      <c r="K215" s="78">
        <f>((3/3)*L206)+((9/3)*L218)</f>
        <v>17439</v>
      </c>
      <c r="L215" s="96"/>
      <c r="M215" s="355">
        <f t="shared" si="21"/>
        <v>0.6</v>
      </c>
      <c r="N215" s="355">
        <v>0.26</v>
      </c>
      <c r="O215" s="355">
        <f t="shared" si="22"/>
        <v>0.61</v>
      </c>
      <c r="P215" s="355">
        <v>0.34620000000000001</v>
      </c>
      <c r="Q215" s="355">
        <v>0.69640000000000002</v>
      </c>
      <c r="R215" s="355">
        <v>0.6</v>
      </c>
      <c r="S215" s="355">
        <v>0.61</v>
      </c>
    </row>
    <row r="216" spans="1:19" s="80" customFormat="1">
      <c r="A216" s="79">
        <f t="shared" si="24"/>
        <v>44012</v>
      </c>
      <c r="B216" s="79">
        <f t="shared" si="23"/>
        <v>44376</v>
      </c>
      <c r="C216" s="88">
        <f t="shared" si="26"/>
        <v>0.26</v>
      </c>
      <c r="D216" s="88">
        <f t="shared" si="26"/>
        <v>0.27900000000000003</v>
      </c>
      <c r="E216" s="88">
        <f t="shared" si="26"/>
        <v>6.0999999999999999E-2</v>
      </c>
      <c r="F216" s="88">
        <f t="shared" si="26"/>
        <v>2.5999999999999999E-2</v>
      </c>
      <c r="G216" s="89">
        <v>0.26</v>
      </c>
      <c r="H216" s="89">
        <v>0.27900000000000003</v>
      </c>
      <c r="I216" s="89">
        <v>6.0999999999999999E-2</v>
      </c>
      <c r="J216" s="89">
        <v>2.5999999999999999E-2</v>
      </c>
      <c r="K216" s="78">
        <f>((2/3)*L206)+((10/3)*L218)</f>
        <v>17509</v>
      </c>
      <c r="L216" s="96"/>
      <c r="M216" s="355">
        <f t="shared" si="21"/>
        <v>0.6</v>
      </c>
      <c r="N216" s="355">
        <v>0.26</v>
      </c>
      <c r="O216" s="355">
        <f t="shared" si="22"/>
        <v>0.61</v>
      </c>
      <c r="P216" s="355">
        <v>0.34620000000000001</v>
      </c>
      <c r="Q216" s="355">
        <v>0.69640000000000002</v>
      </c>
      <c r="R216" s="355">
        <v>0.6</v>
      </c>
      <c r="S216" s="355">
        <v>0.61</v>
      </c>
    </row>
    <row r="217" spans="1:19" s="80" customFormat="1">
      <c r="A217" s="79">
        <f t="shared" si="24"/>
        <v>44043</v>
      </c>
      <c r="B217" s="79">
        <f t="shared" si="23"/>
        <v>44407</v>
      </c>
      <c r="C217" s="88">
        <f t="shared" si="26"/>
        <v>0.26</v>
      </c>
      <c r="D217" s="88">
        <f t="shared" si="26"/>
        <v>0.27900000000000003</v>
      </c>
      <c r="E217" s="88">
        <f t="shared" si="26"/>
        <v>6.0999999999999999E-2</v>
      </c>
      <c r="F217" s="88">
        <f t="shared" si="26"/>
        <v>2.5999999999999999E-2</v>
      </c>
      <c r="G217" s="89">
        <v>0.26</v>
      </c>
      <c r="H217" s="89">
        <v>0.27900000000000003</v>
      </c>
      <c r="I217" s="89">
        <v>6.0999999999999999E-2</v>
      </c>
      <c r="J217" s="89">
        <v>2.5999999999999999E-2</v>
      </c>
      <c r="K217" s="78">
        <f>((1/3)*L206)+((11/3)*L218)</f>
        <v>17579</v>
      </c>
      <c r="L217" s="96"/>
      <c r="M217" s="355">
        <f t="shared" si="21"/>
        <v>0.6</v>
      </c>
      <c r="N217" s="355">
        <v>0.26</v>
      </c>
      <c r="O217" s="355">
        <f t="shared" si="22"/>
        <v>0.61</v>
      </c>
      <c r="P217" s="355">
        <v>0.34620000000000001</v>
      </c>
      <c r="Q217" s="355">
        <v>0.69640000000000002</v>
      </c>
      <c r="R217" s="355">
        <v>0.6</v>
      </c>
      <c r="S217" s="355">
        <v>0.61</v>
      </c>
    </row>
    <row r="218" spans="1:19">
      <c r="A218" s="19">
        <f t="shared" si="24"/>
        <v>44074</v>
      </c>
      <c r="B218" s="19">
        <f t="shared" si="23"/>
        <v>44438</v>
      </c>
      <c r="C218" s="86">
        <f t="shared" si="26"/>
        <v>0.26</v>
      </c>
      <c r="D218" s="86">
        <f t="shared" si="26"/>
        <v>0.27900000000000003</v>
      </c>
      <c r="E218" s="86">
        <f t="shared" si="26"/>
        <v>6.0999999999999999E-2</v>
      </c>
      <c r="F218" s="86">
        <f t="shared" si="26"/>
        <v>2.5999999999999999E-2</v>
      </c>
      <c r="G218" s="87">
        <v>0.26</v>
      </c>
      <c r="H218" s="87">
        <v>0.27900000000000003</v>
      </c>
      <c r="I218" s="87">
        <v>6.0999999999999999E-2</v>
      </c>
      <c r="J218" s="87">
        <v>2.5999999999999999E-2</v>
      </c>
      <c r="K218" s="25">
        <f>(L218*4)</f>
        <v>17649</v>
      </c>
      <c r="L218" s="95">
        <f>L206*1.05</f>
        <v>4412.21</v>
      </c>
      <c r="M218" s="82">
        <f t="shared" si="21"/>
        <v>0.6</v>
      </c>
      <c r="N218" s="82">
        <v>0.26</v>
      </c>
      <c r="O218" s="82">
        <f t="shared" si="22"/>
        <v>0.61</v>
      </c>
      <c r="P218" s="82">
        <v>0.34620000000000001</v>
      </c>
      <c r="Q218" s="82">
        <v>0.69640000000000002</v>
      </c>
      <c r="R218" s="82">
        <v>0.6</v>
      </c>
      <c r="S218" s="82">
        <v>0.61</v>
      </c>
    </row>
    <row r="219" spans="1:19">
      <c r="A219" s="19">
        <f t="shared" si="24"/>
        <v>44104</v>
      </c>
      <c r="B219" s="19">
        <f t="shared" si="23"/>
        <v>44468</v>
      </c>
      <c r="C219" s="86">
        <f t="shared" si="26"/>
        <v>0.26</v>
      </c>
      <c r="D219" s="86">
        <f t="shared" si="26"/>
        <v>0.27900000000000003</v>
      </c>
      <c r="E219" s="86">
        <f t="shared" si="26"/>
        <v>6.0999999999999999E-2</v>
      </c>
      <c r="F219" s="86">
        <f t="shared" si="26"/>
        <v>2.5999999999999999E-2</v>
      </c>
      <c r="G219" s="87">
        <v>0.26</v>
      </c>
      <c r="H219" s="87">
        <v>0.27900000000000003</v>
      </c>
      <c r="I219" s="87">
        <v>6.0999999999999999E-2</v>
      </c>
      <c r="J219" s="87">
        <v>2.5999999999999999E-2</v>
      </c>
      <c r="K219" s="25">
        <f>((11/3)*L218)+((1/3)*L230)</f>
        <v>17722</v>
      </c>
      <c r="L219" s="95"/>
      <c r="M219" s="82">
        <f t="shared" si="21"/>
        <v>0.6</v>
      </c>
      <c r="N219" s="82">
        <v>0.26</v>
      </c>
      <c r="O219" s="82">
        <f t="shared" si="22"/>
        <v>0.61</v>
      </c>
      <c r="P219" s="82">
        <v>0.34620000000000001</v>
      </c>
      <c r="Q219" s="82">
        <v>0.69640000000000002</v>
      </c>
      <c r="R219" s="82">
        <v>0.6</v>
      </c>
      <c r="S219" s="82">
        <v>0.61</v>
      </c>
    </row>
    <row r="220" spans="1:19">
      <c r="A220" s="19">
        <f t="shared" si="24"/>
        <v>44135</v>
      </c>
      <c r="B220" s="19">
        <f t="shared" si="23"/>
        <v>44499</v>
      </c>
      <c r="C220" s="86">
        <f t="shared" si="26"/>
        <v>0.26</v>
      </c>
      <c r="D220" s="86">
        <f t="shared" si="26"/>
        <v>0.27900000000000003</v>
      </c>
      <c r="E220" s="86">
        <f t="shared" si="26"/>
        <v>6.0999999999999999E-2</v>
      </c>
      <c r="F220" s="86">
        <f t="shared" si="26"/>
        <v>2.5999999999999999E-2</v>
      </c>
      <c r="G220" s="87">
        <v>0.26</v>
      </c>
      <c r="H220" s="87">
        <v>0.27900000000000003</v>
      </c>
      <c r="I220" s="87">
        <v>6.0999999999999999E-2</v>
      </c>
      <c r="J220" s="87">
        <v>2.5999999999999999E-2</v>
      </c>
      <c r="K220" s="25">
        <f>((10/3)*L218)+((2/3)*L230)</f>
        <v>17796</v>
      </c>
      <c r="L220" s="95"/>
      <c r="M220" s="82">
        <f t="shared" si="21"/>
        <v>0.6</v>
      </c>
      <c r="N220" s="82">
        <v>0.26</v>
      </c>
      <c r="O220" s="82">
        <f t="shared" si="22"/>
        <v>0.61</v>
      </c>
      <c r="P220" s="82">
        <v>0.34620000000000001</v>
      </c>
      <c r="Q220" s="82">
        <v>0.69640000000000002</v>
      </c>
      <c r="R220" s="82">
        <v>0.6</v>
      </c>
      <c r="S220" s="82">
        <v>0.61</v>
      </c>
    </row>
    <row r="221" spans="1:19">
      <c r="A221" s="19">
        <f t="shared" si="24"/>
        <v>44165</v>
      </c>
      <c r="B221" s="19">
        <f t="shared" si="23"/>
        <v>44529</v>
      </c>
      <c r="C221" s="86">
        <f t="shared" si="26"/>
        <v>0.26</v>
      </c>
      <c r="D221" s="86">
        <f t="shared" si="26"/>
        <v>0.27900000000000003</v>
      </c>
      <c r="E221" s="86">
        <f t="shared" si="26"/>
        <v>6.0999999999999999E-2</v>
      </c>
      <c r="F221" s="86">
        <f t="shared" si="26"/>
        <v>2.5999999999999999E-2</v>
      </c>
      <c r="G221" s="87">
        <v>0.26</v>
      </c>
      <c r="H221" s="87">
        <v>0.27900000000000003</v>
      </c>
      <c r="I221" s="87">
        <v>6.0999999999999999E-2</v>
      </c>
      <c r="J221" s="87">
        <v>2.5999999999999999E-2</v>
      </c>
      <c r="K221" s="25">
        <f>((9/3)*L218)+((3/3)*L230)</f>
        <v>17869</v>
      </c>
      <c r="L221" s="95"/>
      <c r="M221" s="82">
        <f t="shared" si="21"/>
        <v>0.6</v>
      </c>
      <c r="N221" s="82">
        <v>0.26</v>
      </c>
      <c r="O221" s="82">
        <f t="shared" si="22"/>
        <v>0.61</v>
      </c>
      <c r="P221" s="82">
        <v>0.34620000000000001</v>
      </c>
      <c r="Q221" s="82">
        <v>0.69640000000000002</v>
      </c>
      <c r="R221" s="82">
        <v>0.6</v>
      </c>
      <c r="S221" s="82">
        <v>0.61</v>
      </c>
    </row>
    <row r="222" spans="1:19">
      <c r="A222" s="19">
        <f t="shared" si="24"/>
        <v>44196</v>
      </c>
      <c r="B222" s="19">
        <f t="shared" si="23"/>
        <v>44560</v>
      </c>
      <c r="C222" s="86">
        <f t="shared" si="26"/>
        <v>0.26</v>
      </c>
      <c r="D222" s="86">
        <f t="shared" si="26"/>
        <v>0.27900000000000003</v>
      </c>
      <c r="E222" s="86">
        <f t="shared" si="26"/>
        <v>6.0999999999999999E-2</v>
      </c>
      <c r="F222" s="86">
        <f t="shared" si="26"/>
        <v>2.5999999999999999E-2</v>
      </c>
      <c r="G222" s="87">
        <v>0.26</v>
      </c>
      <c r="H222" s="87">
        <v>0.27900000000000003</v>
      </c>
      <c r="I222" s="87">
        <v>6.0999999999999999E-2</v>
      </c>
      <c r="J222" s="87">
        <v>2.5999999999999999E-2</v>
      </c>
      <c r="K222" s="25">
        <f>((8/3)*L218)+((4/3)*L230)</f>
        <v>17943</v>
      </c>
      <c r="L222" s="95"/>
      <c r="M222" s="82">
        <f t="shared" si="21"/>
        <v>0.6</v>
      </c>
      <c r="N222" s="82">
        <v>0.26</v>
      </c>
      <c r="O222" s="82">
        <f t="shared" si="22"/>
        <v>0.61</v>
      </c>
      <c r="P222" s="82">
        <v>0.34620000000000001</v>
      </c>
      <c r="Q222" s="82">
        <v>0.69640000000000002</v>
      </c>
      <c r="R222" s="82">
        <v>0.6</v>
      </c>
      <c r="S222" s="82">
        <v>0.61</v>
      </c>
    </row>
    <row r="223" spans="1:19">
      <c r="A223" s="19">
        <f t="shared" si="24"/>
        <v>44227</v>
      </c>
      <c r="B223" s="19">
        <f t="shared" si="23"/>
        <v>44591</v>
      </c>
      <c r="C223" s="86">
        <f t="shared" si="26"/>
        <v>0.26</v>
      </c>
      <c r="D223" s="86">
        <f t="shared" si="26"/>
        <v>0.27900000000000003</v>
      </c>
      <c r="E223" s="86">
        <f t="shared" si="26"/>
        <v>6.0999999999999999E-2</v>
      </c>
      <c r="F223" s="86">
        <f t="shared" si="26"/>
        <v>2.5999999999999999E-2</v>
      </c>
      <c r="G223" s="87">
        <v>0.26</v>
      </c>
      <c r="H223" s="87">
        <v>0.27900000000000003</v>
      </c>
      <c r="I223" s="87">
        <v>6.0999999999999999E-2</v>
      </c>
      <c r="J223" s="87">
        <v>2.5999999999999999E-2</v>
      </c>
      <c r="K223" s="25">
        <f>((7/3)*L218)+((5/3)*L230)</f>
        <v>18017</v>
      </c>
      <c r="L223" s="95"/>
      <c r="M223" s="82">
        <f t="shared" si="21"/>
        <v>0.6</v>
      </c>
      <c r="N223" s="82">
        <v>0.26</v>
      </c>
      <c r="O223" s="82">
        <f t="shared" si="22"/>
        <v>0.61</v>
      </c>
      <c r="P223" s="82">
        <v>0.34620000000000001</v>
      </c>
      <c r="Q223" s="82">
        <v>0.69640000000000002</v>
      </c>
      <c r="R223" s="82">
        <v>0.6</v>
      </c>
      <c r="S223" s="82">
        <v>0.61</v>
      </c>
    </row>
    <row r="224" spans="1:19">
      <c r="A224" s="19">
        <f t="shared" si="24"/>
        <v>44255</v>
      </c>
      <c r="B224" s="19">
        <f t="shared" si="23"/>
        <v>44619</v>
      </c>
      <c r="C224" s="86">
        <f t="shared" si="26"/>
        <v>0.26</v>
      </c>
      <c r="D224" s="86">
        <f t="shared" si="26"/>
        <v>0.27900000000000003</v>
      </c>
      <c r="E224" s="86">
        <f t="shared" si="26"/>
        <v>6.0999999999999999E-2</v>
      </c>
      <c r="F224" s="86">
        <f t="shared" si="26"/>
        <v>2.5999999999999999E-2</v>
      </c>
      <c r="G224" s="87">
        <v>0.26</v>
      </c>
      <c r="H224" s="87">
        <v>0.27900000000000003</v>
      </c>
      <c r="I224" s="87">
        <v>6.0999999999999999E-2</v>
      </c>
      <c r="J224" s="87">
        <v>2.5999999999999999E-2</v>
      </c>
      <c r="K224" s="25">
        <f>((6/3)*L218)+((6/3)*L230)</f>
        <v>18090</v>
      </c>
      <c r="L224" s="95"/>
      <c r="M224" s="82">
        <f t="shared" si="21"/>
        <v>0.6</v>
      </c>
      <c r="N224" s="82">
        <v>0.26</v>
      </c>
      <c r="O224" s="82">
        <f t="shared" si="22"/>
        <v>0.61</v>
      </c>
      <c r="P224" s="82">
        <v>0.34620000000000001</v>
      </c>
      <c r="Q224" s="82">
        <v>0.69640000000000002</v>
      </c>
      <c r="R224" s="82">
        <v>0.6</v>
      </c>
      <c r="S224" s="82">
        <v>0.61</v>
      </c>
    </row>
    <row r="225" spans="1:19">
      <c r="A225" s="19">
        <f t="shared" si="24"/>
        <v>44286</v>
      </c>
      <c r="B225" s="19">
        <f t="shared" si="23"/>
        <v>44650</v>
      </c>
      <c r="C225" s="86">
        <f t="shared" si="26"/>
        <v>0.26</v>
      </c>
      <c r="D225" s="86">
        <f t="shared" si="26"/>
        <v>0.27900000000000003</v>
      </c>
      <c r="E225" s="86">
        <f t="shared" si="26"/>
        <v>6.0999999999999999E-2</v>
      </c>
      <c r="F225" s="86">
        <f t="shared" si="26"/>
        <v>2.5999999999999999E-2</v>
      </c>
      <c r="G225" s="87">
        <v>0.26</v>
      </c>
      <c r="H225" s="87">
        <v>0.27900000000000003</v>
      </c>
      <c r="I225" s="87">
        <v>6.0999999999999999E-2</v>
      </c>
      <c r="J225" s="87">
        <v>2.5999999999999999E-2</v>
      </c>
      <c r="K225" s="25">
        <f>((5/3)*L218)+((7/3)*L230)</f>
        <v>18164</v>
      </c>
      <c r="L225" s="95"/>
      <c r="M225" s="82">
        <f t="shared" si="21"/>
        <v>0.6</v>
      </c>
      <c r="N225" s="82">
        <v>0.26</v>
      </c>
      <c r="O225" s="82">
        <f t="shared" si="22"/>
        <v>0.61</v>
      </c>
      <c r="P225" s="82">
        <v>0.34620000000000001</v>
      </c>
      <c r="Q225" s="82">
        <v>0.69640000000000002</v>
      </c>
      <c r="R225" s="82">
        <v>0.6</v>
      </c>
      <c r="S225" s="82">
        <v>0.61</v>
      </c>
    </row>
    <row r="226" spans="1:19">
      <c r="A226" s="19">
        <f t="shared" si="24"/>
        <v>44316</v>
      </c>
      <c r="B226" s="19">
        <f t="shared" si="23"/>
        <v>44680</v>
      </c>
      <c r="C226" s="86">
        <f t="shared" si="26"/>
        <v>0.26</v>
      </c>
      <c r="D226" s="86">
        <f t="shared" si="26"/>
        <v>0.27900000000000003</v>
      </c>
      <c r="E226" s="86">
        <f t="shared" si="26"/>
        <v>6.0999999999999999E-2</v>
      </c>
      <c r="F226" s="86">
        <f t="shared" si="26"/>
        <v>2.5999999999999999E-2</v>
      </c>
      <c r="G226" s="87">
        <v>0.26</v>
      </c>
      <c r="H226" s="87">
        <v>0.27900000000000003</v>
      </c>
      <c r="I226" s="87">
        <v>6.0999999999999999E-2</v>
      </c>
      <c r="J226" s="87">
        <v>2.5999999999999999E-2</v>
      </c>
      <c r="K226" s="25">
        <f>((4/3)*L218)+((8/3)*L230)</f>
        <v>18237</v>
      </c>
      <c r="L226" s="95"/>
      <c r="M226" s="82">
        <f t="shared" si="21"/>
        <v>0.6</v>
      </c>
      <c r="N226" s="82">
        <v>0.26</v>
      </c>
      <c r="O226" s="82">
        <f t="shared" si="22"/>
        <v>0.61</v>
      </c>
      <c r="P226" s="82">
        <v>0.34620000000000001</v>
      </c>
      <c r="Q226" s="82">
        <v>0.69640000000000002</v>
      </c>
      <c r="R226" s="82">
        <v>0.6</v>
      </c>
      <c r="S226" s="82">
        <v>0.61</v>
      </c>
    </row>
    <row r="227" spans="1:19">
      <c r="A227" s="19">
        <f t="shared" si="24"/>
        <v>44347</v>
      </c>
      <c r="B227" s="19">
        <f t="shared" si="23"/>
        <v>44711</v>
      </c>
      <c r="C227" s="86">
        <f t="shared" ref="C227:F242" si="27">AVERAGE(G227:G238)</f>
        <v>0.26</v>
      </c>
      <c r="D227" s="86">
        <f t="shared" si="27"/>
        <v>0.27900000000000003</v>
      </c>
      <c r="E227" s="86">
        <f t="shared" si="27"/>
        <v>6.0999999999999999E-2</v>
      </c>
      <c r="F227" s="86">
        <f t="shared" si="27"/>
        <v>2.5999999999999999E-2</v>
      </c>
      <c r="G227" s="87">
        <v>0.26</v>
      </c>
      <c r="H227" s="87">
        <v>0.27900000000000003</v>
      </c>
      <c r="I227" s="87">
        <v>6.0999999999999999E-2</v>
      </c>
      <c r="J227" s="87">
        <v>2.5999999999999999E-2</v>
      </c>
      <c r="K227" s="25">
        <f>((3/3)*L218)+((9/3)*L230)</f>
        <v>18311</v>
      </c>
      <c r="L227" s="95"/>
      <c r="M227" s="82">
        <f t="shared" si="21"/>
        <v>0.6</v>
      </c>
      <c r="N227" s="82">
        <v>0.26</v>
      </c>
      <c r="O227" s="82">
        <f t="shared" si="22"/>
        <v>0.61</v>
      </c>
      <c r="P227" s="82">
        <v>0.34620000000000001</v>
      </c>
      <c r="Q227" s="82">
        <v>0.69640000000000002</v>
      </c>
      <c r="R227" s="82">
        <v>0.6</v>
      </c>
      <c r="S227" s="82">
        <v>0.61</v>
      </c>
    </row>
    <row r="228" spans="1:19">
      <c r="A228" s="19">
        <f t="shared" si="24"/>
        <v>44377</v>
      </c>
      <c r="B228" s="19">
        <f t="shared" si="23"/>
        <v>44741</v>
      </c>
      <c r="C228" s="86">
        <f t="shared" si="27"/>
        <v>0.26</v>
      </c>
      <c r="D228" s="86">
        <f t="shared" si="27"/>
        <v>0.27900000000000003</v>
      </c>
      <c r="E228" s="86">
        <f t="shared" si="27"/>
        <v>6.0999999999999999E-2</v>
      </c>
      <c r="F228" s="86">
        <f t="shared" si="27"/>
        <v>2.5999999999999999E-2</v>
      </c>
      <c r="G228" s="87">
        <v>0.26</v>
      </c>
      <c r="H228" s="87">
        <v>0.27900000000000003</v>
      </c>
      <c r="I228" s="87">
        <v>6.0999999999999999E-2</v>
      </c>
      <c r="J228" s="87">
        <v>2.5999999999999999E-2</v>
      </c>
      <c r="K228" s="25">
        <f>((2/3)*L218)+((10/3)*L230)</f>
        <v>18384</v>
      </c>
      <c r="L228" s="95"/>
      <c r="M228" s="82">
        <f t="shared" si="21"/>
        <v>0.6</v>
      </c>
      <c r="N228" s="82">
        <v>0.26</v>
      </c>
      <c r="O228" s="82">
        <f t="shared" si="22"/>
        <v>0.61</v>
      </c>
      <c r="P228" s="82">
        <v>0.34620000000000001</v>
      </c>
      <c r="Q228" s="82">
        <v>0.69640000000000002</v>
      </c>
      <c r="R228" s="82">
        <v>0.6</v>
      </c>
      <c r="S228" s="82">
        <v>0.61</v>
      </c>
    </row>
    <row r="229" spans="1:19">
      <c r="A229" s="19">
        <f t="shared" si="24"/>
        <v>44408</v>
      </c>
      <c r="B229" s="19">
        <f t="shared" si="23"/>
        <v>44772</v>
      </c>
      <c r="C229" s="83">
        <f t="shared" si="27"/>
        <v>0.26</v>
      </c>
      <c r="D229" s="83">
        <f t="shared" si="27"/>
        <v>0.27900000000000003</v>
      </c>
      <c r="E229" s="83">
        <f t="shared" si="27"/>
        <v>6.0999999999999999E-2</v>
      </c>
      <c r="F229" s="83">
        <f t="shared" si="27"/>
        <v>2.5999999999999999E-2</v>
      </c>
      <c r="G229" s="87">
        <v>0.26</v>
      </c>
      <c r="H229" s="87">
        <v>0.27900000000000003</v>
      </c>
      <c r="I229" s="87">
        <v>6.0999999999999999E-2</v>
      </c>
      <c r="J229" s="87">
        <v>2.5999999999999999E-2</v>
      </c>
      <c r="K229" s="25">
        <f>((1/3)*L218)+((11/3)*L230)</f>
        <v>18458</v>
      </c>
      <c r="L229" s="95"/>
      <c r="M229" s="82">
        <f t="shared" si="21"/>
        <v>0.6</v>
      </c>
      <c r="N229" s="82">
        <v>0.26</v>
      </c>
      <c r="O229" s="82">
        <f t="shared" si="22"/>
        <v>0.61</v>
      </c>
      <c r="P229" s="82">
        <v>0.34620000000000001</v>
      </c>
      <c r="Q229" s="82">
        <v>0.69640000000000002</v>
      </c>
      <c r="R229" s="82">
        <v>0.6</v>
      </c>
      <c r="S229" s="82">
        <v>0.61</v>
      </c>
    </row>
    <row r="230" spans="1:19" s="80" customFormat="1">
      <c r="A230" s="79">
        <f t="shared" si="24"/>
        <v>44439</v>
      </c>
      <c r="B230" s="79">
        <f t="shared" si="23"/>
        <v>44803</v>
      </c>
      <c r="C230" s="88">
        <f t="shared" si="27"/>
        <v>0.26</v>
      </c>
      <c r="D230" s="88">
        <f t="shared" si="27"/>
        <v>0.27900000000000003</v>
      </c>
      <c r="E230" s="88">
        <f t="shared" si="27"/>
        <v>6.0999999999999999E-2</v>
      </c>
      <c r="F230" s="88">
        <f t="shared" si="27"/>
        <v>2.5999999999999999E-2</v>
      </c>
      <c r="G230" s="89">
        <v>0.26</v>
      </c>
      <c r="H230" s="89">
        <v>0.27900000000000003</v>
      </c>
      <c r="I230" s="89">
        <v>6.0999999999999999E-2</v>
      </c>
      <c r="J230" s="89">
        <v>2.5999999999999999E-2</v>
      </c>
      <c r="K230" s="78">
        <f>(L230*4)</f>
        <v>18531</v>
      </c>
      <c r="L230" s="96">
        <f>L218*1.05</f>
        <v>4632.82</v>
      </c>
      <c r="M230" s="355">
        <f t="shared" si="21"/>
        <v>0.6</v>
      </c>
      <c r="N230" s="355">
        <v>0.26</v>
      </c>
      <c r="O230" s="355">
        <f t="shared" si="22"/>
        <v>0.61</v>
      </c>
      <c r="P230" s="355">
        <v>0.34620000000000001</v>
      </c>
      <c r="Q230" s="355">
        <v>0.69640000000000002</v>
      </c>
      <c r="R230" s="355">
        <v>0.6</v>
      </c>
      <c r="S230" s="355">
        <v>0.61</v>
      </c>
    </row>
    <row r="231" spans="1:19" s="80" customFormat="1">
      <c r="A231" s="79">
        <f t="shared" si="24"/>
        <v>44469</v>
      </c>
      <c r="B231" s="79">
        <f t="shared" si="23"/>
        <v>44833</v>
      </c>
      <c r="C231" s="88">
        <f t="shared" si="27"/>
        <v>0.26</v>
      </c>
      <c r="D231" s="88">
        <f t="shared" si="27"/>
        <v>0.27900000000000003</v>
      </c>
      <c r="E231" s="88">
        <f t="shared" si="27"/>
        <v>6.0999999999999999E-2</v>
      </c>
      <c r="F231" s="88">
        <f t="shared" si="27"/>
        <v>2.5999999999999999E-2</v>
      </c>
      <c r="G231" s="89">
        <v>0.26</v>
      </c>
      <c r="H231" s="89">
        <v>0.27900000000000003</v>
      </c>
      <c r="I231" s="89">
        <v>6.0999999999999999E-2</v>
      </c>
      <c r="J231" s="89">
        <v>2.5999999999999999E-2</v>
      </c>
      <c r="K231" s="78">
        <f>((11/3)*L230)+((1/3)*L242)</f>
        <v>18608</v>
      </c>
      <c r="L231" s="96"/>
      <c r="M231" s="355">
        <f t="shared" si="21"/>
        <v>0.6</v>
      </c>
      <c r="N231" s="355">
        <v>0.26</v>
      </c>
      <c r="O231" s="355">
        <f t="shared" si="22"/>
        <v>0.61</v>
      </c>
      <c r="P231" s="355">
        <v>0.34620000000000001</v>
      </c>
      <c r="Q231" s="355">
        <v>0.69640000000000002</v>
      </c>
      <c r="R231" s="355">
        <v>0.6</v>
      </c>
      <c r="S231" s="355">
        <v>0.61</v>
      </c>
    </row>
    <row r="232" spans="1:19" s="80" customFormat="1">
      <c r="A232" s="79">
        <f t="shared" si="24"/>
        <v>44500</v>
      </c>
      <c r="B232" s="79">
        <f t="shared" si="23"/>
        <v>44864</v>
      </c>
      <c r="C232" s="88">
        <f t="shared" si="27"/>
        <v>0.26</v>
      </c>
      <c r="D232" s="88">
        <f t="shared" si="27"/>
        <v>0.27900000000000003</v>
      </c>
      <c r="E232" s="88">
        <f t="shared" si="27"/>
        <v>6.0999999999999999E-2</v>
      </c>
      <c r="F232" s="88">
        <f t="shared" si="27"/>
        <v>2.5999999999999999E-2</v>
      </c>
      <c r="G232" s="89">
        <v>0.26</v>
      </c>
      <c r="H232" s="89">
        <v>0.27900000000000003</v>
      </c>
      <c r="I232" s="89">
        <v>6.0999999999999999E-2</v>
      </c>
      <c r="J232" s="89">
        <v>2.5999999999999999E-2</v>
      </c>
      <c r="K232" s="78">
        <f>((10/3)*L230)+((2/3)*L242)</f>
        <v>18686</v>
      </c>
      <c r="L232" s="96"/>
      <c r="M232" s="355">
        <f t="shared" si="21"/>
        <v>0.6</v>
      </c>
      <c r="N232" s="355">
        <v>0.26</v>
      </c>
      <c r="O232" s="355">
        <f t="shared" si="22"/>
        <v>0.61</v>
      </c>
      <c r="P232" s="355">
        <v>0.34620000000000001</v>
      </c>
      <c r="Q232" s="355">
        <v>0.69640000000000002</v>
      </c>
      <c r="R232" s="355">
        <v>0.6</v>
      </c>
      <c r="S232" s="355">
        <v>0.61</v>
      </c>
    </row>
    <row r="233" spans="1:19" s="80" customFormat="1">
      <c r="A233" s="79">
        <f t="shared" si="24"/>
        <v>44530</v>
      </c>
      <c r="B233" s="79">
        <f t="shared" si="23"/>
        <v>44894</v>
      </c>
      <c r="C233" s="88">
        <f t="shared" si="27"/>
        <v>0.26</v>
      </c>
      <c r="D233" s="88">
        <f t="shared" si="27"/>
        <v>0.27900000000000003</v>
      </c>
      <c r="E233" s="88">
        <f t="shared" si="27"/>
        <v>6.0999999999999999E-2</v>
      </c>
      <c r="F233" s="88">
        <f t="shared" si="27"/>
        <v>2.5999999999999999E-2</v>
      </c>
      <c r="G233" s="89">
        <v>0.26</v>
      </c>
      <c r="H233" s="89">
        <v>0.27900000000000003</v>
      </c>
      <c r="I233" s="89">
        <v>6.0999999999999999E-2</v>
      </c>
      <c r="J233" s="89">
        <v>2.5999999999999999E-2</v>
      </c>
      <c r="K233" s="78">
        <f>((9/3)*L230)+((3/3)*L242)</f>
        <v>18763</v>
      </c>
      <c r="L233" s="96"/>
      <c r="M233" s="355">
        <f t="shared" si="21"/>
        <v>0.6</v>
      </c>
      <c r="N233" s="355">
        <v>0.26</v>
      </c>
      <c r="O233" s="355">
        <f t="shared" si="22"/>
        <v>0.61</v>
      </c>
      <c r="P233" s="355">
        <v>0.34620000000000001</v>
      </c>
      <c r="Q233" s="355">
        <v>0.69640000000000002</v>
      </c>
      <c r="R233" s="355">
        <v>0.6</v>
      </c>
      <c r="S233" s="355">
        <v>0.61</v>
      </c>
    </row>
    <row r="234" spans="1:19" s="80" customFormat="1">
      <c r="A234" s="79">
        <f t="shared" si="24"/>
        <v>44561</v>
      </c>
      <c r="B234" s="79">
        <f t="shared" si="23"/>
        <v>44925</v>
      </c>
      <c r="C234" s="88">
        <f t="shared" si="27"/>
        <v>0.26</v>
      </c>
      <c r="D234" s="88">
        <f t="shared" si="27"/>
        <v>0.27900000000000003</v>
      </c>
      <c r="E234" s="88">
        <f t="shared" si="27"/>
        <v>6.0999999999999999E-2</v>
      </c>
      <c r="F234" s="88">
        <f t="shared" si="27"/>
        <v>2.5999999999999999E-2</v>
      </c>
      <c r="G234" s="89">
        <v>0.26</v>
      </c>
      <c r="H234" s="89">
        <v>0.27900000000000003</v>
      </c>
      <c r="I234" s="89">
        <v>6.0999999999999999E-2</v>
      </c>
      <c r="J234" s="89">
        <v>2.5999999999999999E-2</v>
      </c>
      <c r="K234" s="78">
        <f>((8/3)*L230)+((4/3)*L242)</f>
        <v>18840</v>
      </c>
      <c r="L234" s="96"/>
      <c r="M234" s="355">
        <f t="shared" si="21"/>
        <v>0.6</v>
      </c>
      <c r="N234" s="355">
        <v>0.26</v>
      </c>
      <c r="O234" s="355">
        <f t="shared" si="22"/>
        <v>0.61</v>
      </c>
      <c r="P234" s="355">
        <v>0.34620000000000001</v>
      </c>
      <c r="Q234" s="355">
        <v>0.69640000000000002</v>
      </c>
      <c r="R234" s="355">
        <v>0.6</v>
      </c>
      <c r="S234" s="355">
        <v>0.61</v>
      </c>
    </row>
    <row r="235" spans="1:19" s="80" customFormat="1">
      <c r="A235" s="79">
        <f t="shared" si="24"/>
        <v>44592</v>
      </c>
      <c r="B235" s="79">
        <f t="shared" si="23"/>
        <v>44956</v>
      </c>
      <c r="C235" s="88">
        <f t="shared" si="27"/>
        <v>0.26</v>
      </c>
      <c r="D235" s="88">
        <f t="shared" si="27"/>
        <v>0.27900000000000003</v>
      </c>
      <c r="E235" s="88">
        <f t="shared" si="27"/>
        <v>6.0999999999999999E-2</v>
      </c>
      <c r="F235" s="88">
        <f t="shared" si="27"/>
        <v>2.5999999999999999E-2</v>
      </c>
      <c r="G235" s="89">
        <v>0.26</v>
      </c>
      <c r="H235" s="89">
        <v>0.27900000000000003</v>
      </c>
      <c r="I235" s="89">
        <v>6.0999999999999999E-2</v>
      </c>
      <c r="J235" s="89">
        <v>2.5999999999999999E-2</v>
      </c>
      <c r="K235" s="78">
        <f>((7/3)*L230)+((5/3)*L242)</f>
        <v>18917</v>
      </c>
      <c r="L235" s="96"/>
      <c r="M235" s="355">
        <f t="shared" si="21"/>
        <v>0.6</v>
      </c>
      <c r="N235" s="355">
        <v>0.26</v>
      </c>
      <c r="O235" s="355">
        <f t="shared" si="22"/>
        <v>0.61</v>
      </c>
      <c r="P235" s="355">
        <v>0.34620000000000001</v>
      </c>
      <c r="Q235" s="355">
        <v>0.69640000000000002</v>
      </c>
      <c r="R235" s="355">
        <v>0.6</v>
      </c>
      <c r="S235" s="355">
        <v>0.61</v>
      </c>
    </row>
    <row r="236" spans="1:19" s="80" customFormat="1">
      <c r="A236" s="79">
        <f t="shared" si="24"/>
        <v>44620</v>
      </c>
      <c r="B236" s="79">
        <f t="shared" si="23"/>
        <v>44984</v>
      </c>
      <c r="C236" s="88">
        <f t="shared" si="27"/>
        <v>0.26</v>
      </c>
      <c r="D236" s="88">
        <f t="shared" si="27"/>
        <v>0.27900000000000003</v>
      </c>
      <c r="E236" s="88">
        <f t="shared" si="27"/>
        <v>6.0999999999999999E-2</v>
      </c>
      <c r="F236" s="88">
        <f t="shared" si="27"/>
        <v>2.5999999999999999E-2</v>
      </c>
      <c r="G236" s="89">
        <v>0.26</v>
      </c>
      <c r="H236" s="89">
        <v>0.27900000000000003</v>
      </c>
      <c r="I236" s="89">
        <v>6.0999999999999999E-2</v>
      </c>
      <c r="J236" s="89">
        <v>2.5999999999999999E-2</v>
      </c>
      <c r="K236" s="78">
        <f>((6/3)*L230)+((6/3)*L242)</f>
        <v>18995</v>
      </c>
      <c r="L236" s="96"/>
      <c r="M236" s="355">
        <f t="shared" si="21"/>
        <v>0.6</v>
      </c>
      <c r="N236" s="355">
        <v>0.26</v>
      </c>
      <c r="O236" s="355">
        <f t="shared" si="22"/>
        <v>0.61</v>
      </c>
      <c r="P236" s="355">
        <v>0.34620000000000001</v>
      </c>
      <c r="Q236" s="355">
        <v>0.69640000000000002</v>
      </c>
      <c r="R236" s="355">
        <v>0.6</v>
      </c>
      <c r="S236" s="355">
        <v>0.61</v>
      </c>
    </row>
    <row r="237" spans="1:19" s="80" customFormat="1">
      <c r="A237" s="79">
        <f t="shared" si="24"/>
        <v>44651</v>
      </c>
      <c r="B237" s="79">
        <f t="shared" si="23"/>
        <v>45015</v>
      </c>
      <c r="C237" s="88">
        <f t="shared" si="27"/>
        <v>0.26</v>
      </c>
      <c r="D237" s="88">
        <f t="shared" si="27"/>
        <v>0.27900000000000003</v>
      </c>
      <c r="E237" s="88">
        <f t="shared" si="27"/>
        <v>6.0999999999999999E-2</v>
      </c>
      <c r="F237" s="88">
        <f t="shared" si="27"/>
        <v>2.5999999999999999E-2</v>
      </c>
      <c r="G237" s="89">
        <v>0.26</v>
      </c>
      <c r="H237" s="89">
        <v>0.27900000000000003</v>
      </c>
      <c r="I237" s="89">
        <v>6.0999999999999999E-2</v>
      </c>
      <c r="J237" s="89">
        <v>2.5999999999999999E-2</v>
      </c>
      <c r="K237" s="78">
        <f>((5/3)*L230)+((7/3)*L242)</f>
        <v>19072</v>
      </c>
      <c r="L237" s="96"/>
      <c r="M237" s="355">
        <f t="shared" si="21"/>
        <v>0.6</v>
      </c>
      <c r="N237" s="355">
        <v>0.26</v>
      </c>
      <c r="O237" s="355">
        <f t="shared" si="22"/>
        <v>0.61</v>
      </c>
      <c r="P237" s="355">
        <v>0.34620000000000001</v>
      </c>
      <c r="Q237" s="355">
        <v>0.69640000000000002</v>
      </c>
      <c r="R237" s="355">
        <v>0.6</v>
      </c>
      <c r="S237" s="355">
        <v>0.61</v>
      </c>
    </row>
    <row r="238" spans="1:19" s="80" customFormat="1">
      <c r="A238" s="79">
        <f t="shared" si="24"/>
        <v>44681</v>
      </c>
      <c r="B238" s="79">
        <f t="shared" si="23"/>
        <v>45045</v>
      </c>
      <c r="C238" s="88">
        <f t="shared" si="27"/>
        <v>0.26</v>
      </c>
      <c r="D238" s="88">
        <f t="shared" si="27"/>
        <v>0.27900000000000003</v>
      </c>
      <c r="E238" s="88">
        <f t="shared" si="27"/>
        <v>6.0999999999999999E-2</v>
      </c>
      <c r="F238" s="88">
        <f t="shared" si="27"/>
        <v>2.5999999999999999E-2</v>
      </c>
      <c r="G238" s="89">
        <v>0.26</v>
      </c>
      <c r="H238" s="89">
        <v>0.27900000000000003</v>
      </c>
      <c r="I238" s="89">
        <v>6.0999999999999999E-2</v>
      </c>
      <c r="J238" s="89">
        <v>2.5999999999999999E-2</v>
      </c>
      <c r="K238" s="78">
        <f>((4/3)*L230)+((8/3)*L242)</f>
        <v>19149</v>
      </c>
      <c r="L238" s="96"/>
      <c r="M238" s="355">
        <f t="shared" si="21"/>
        <v>0.6</v>
      </c>
      <c r="N238" s="355">
        <v>0.26</v>
      </c>
      <c r="O238" s="355">
        <f t="shared" si="22"/>
        <v>0.61</v>
      </c>
      <c r="P238" s="355">
        <v>0.34620000000000001</v>
      </c>
      <c r="Q238" s="355">
        <v>0.69640000000000002</v>
      </c>
      <c r="R238" s="355">
        <v>0.6</v>
      </c>
      <c r="S238" s="355">
        <v>0.61</v>
      </c>
    </row>
    <row r="239" spans="1:19" s="80" customFormat="1">
      <c r="A239" s="79">
        <f t="shared" si="24"/>
        <v>44712</v>
      </c>
      <c r="B239" s="79">
        <f t="shared" si="23"/>
        <v>45076</v>
      </c>
      <c r="C239" s="88">
        <f t="shared" si="27"/>
        <v>0.26</v>
      </c>
      <c r="D239" s="88">
        <f t="shared" si="27"/>
        <v>0.27900000000000003</v>
      </c>
      <c r="E239" s="88">
        <f t="shared" si="27"/>
        <v>6.0999999999999999E-2</v>
      </c>
      <c r="F239" s="88">
        <f t="shared" si="27"/>
        <v>2.5999999999999999E-2</v>
      </c>
      <c r="G239" s="89">
        <v>0.26</v>
      </c>
      <c r="H239" s="89">
        <v>0.27900000000000003</v>
      </c>
      <c r="I239" s="89">
        <v>6.0999999999999999E-2</v>
      </c>
      <c r="J239" s="89">
        <v>2.5999999999999999E-2</v>
      </c>
      <c r="K239" s="78">
        <f>((3/3)*L230)+((9/3)*L242)</f>
        <v>19226</v>
      </c>
      <c r="L239" s="96"/>
      <c r="M239" s="355">
        <f t="shared" ref="M239:M302" si="28">AVERAGE(R239:R250)</f>
        <v>0.6</v>
      </c>
      <c r="N239" s="355">
        <v>0.26</v>
      </c>
      <c r="O239" s="355">
        <f t="shared" ref="O239:O302" si="29">AVERAGE(S239:S250)</f>
        <v>0.61</v>
      </c>
      <c r="P239" s="355">
        <v>0.34620000000000001</v>
      </c>
      <c r="Q239" s="355">
        <v>0.69640000000000002</v>
      </c>
      <c r="R239" s="355">
        <v>0.6</v>
      </c>
      <c r="S239" s="355">
        <v>0.61</v>
      </c>
    </row>
    <row r="240" spans="1:19" s="80" customFormat="1">
      <c r="A240" s="79">
        <f t="shared" si="24"/>
        <v>44742</v>
      </c>
      <c r="B240" s="79">
        <f t="shared" si="23"/>
        <v>45106</v>
      </c>
      <c r="C240" s="88">
        <f t="shared" si="27"/>
        <v>0.26</v>
      </c>
      <c r="D240" s="88">
        <f t="shared" si="27"/>
        <v>0.27900000000000003</v>
      </c>
      <c r="E240" s="88">
        <f t="shared" si="27"/>
        <v>6.0999999999999999E-2</v>
      </c>
      <c r="F240" s="88">
        <f t="shared" si="27"/>
        <v>2.5999999999999999E-2</v>
      </c>
      <c r="G240" s="89">
        <v>0.26</v>
      </c>
      <c r="H240" s="89">
        <v>0.27900000000000003</v>
      </c>
      <c r="I240" s="89">
        <v>6.0999999999999999E-2</v>
      </c>
      <c r="J240" s="89">
        <v>2.5999999999999999E-2</v>
      </c>
      <c r="K240" s="78">
        <f>((2/3)*L230)+((10/3)*L242)</f>
        <v>19303</v>
      </c>
      <c r="L240" s="96"/>
      <c r="M240" s="355">
        <f t="shared" si="28"/>
        <v>0.6</v>
      </c>
      <c r="N240" s="355">
        <v>0.26</v>
      </c>
      <c r="O240" s="355">
        <f t="shared" si="29"/>
        <v>0.61</v>
      </c>
      <c r="P240" s="355">
        <v>0.34620000000000001</v>
      </c>
      <c r="Q240" s="355">
        <v>0.69640000000000002</v>
      </c>
      <c r="R240" s="355">
        <v>0.6</v>
      </c>
      <c r="S240" s="355">
        <v>0.61</v>
      </c>
    </row>
    <row r="241" spans="1:19" s="80" customFormat="1">
      <c r="A241" s="79">
        <f t="shared" si="24"/>
        <v>44773</v>
      </c>
      <c r="B241" s="79">
        <f t="shared" si="23"/>
        <v>45137</v>
      </c>
      <c r="C241" s="88">
        <f t="shared" si="27"/>
        <v>0.26</v>
      </c>
      <c r="D241" s="88">
        <f t="shared" si="27"/>
        <v>0.27900000000000003</v>
      </c>
      <c r="E241" s="88">
        <f t="shared" si="27"/>
        <v>6.0999999999999999E-2</v>
      </c>
      <c r="F241" s="88">
        <f t="shared" si="27"/>
        <v>2.5999999999999999E-2</v>
      </c>
      <c r="G241" s="89">
        <v>0.26</v>
      </c>
      <c r="H241" s="89">
        <v>0.27900000000000003</v>
      </c>
      <c r="I241" s="89">
        <v>6.0999999999999999E-2</v>
      </c>
      <c r="J241" s="89">
        <v>2.5999999999999999E-2</v>
      </c>
      <c r="K241" s="78">
        <f>((1/3)*L230)+((11/3)*L242)</f>
        <v>19381</v>
      </c>
      <c r="L241" s="96"/>
      <c r="M241" s="355">
        <f t="shared" si="28"/>
        <v>0.6</v>
      </c>
      <c r="N241" s="355">
        <v>0.26</v>
      </c>
      <c r="O241" s="355">
        <f t="shared" si="29"/>
        <v>0.61</v>
      </c>
      <c r="P241" s="355">
        <v>0.34620000000000001</v>
      </c>
      <c r="Q241" s="355">
        <v>0.69640000000000002</v>
      </c>
      <c r="R241" s="355">
        <v>0.6</v>
      </c>
      <c r="S241" s="355">
        <v>0.61</v>
      </c>
    </row>
    <row r="242" spans="1:19">
      <c r="A242" s="19">
        <f t="shared" si="24"/>
        <v>44804</v>
      </c>
      <c r="B242" s="19">
        <f t="shared" si="23"/>
        <v>45168</v>
      </c>
      <c r="C242" s="86">
        <f t="shared" si="27"/>
        <v>0.26</v>
      </c>
      <c r="D242" s="86">
        <f t="shared" si="27"/>
        <v>0.27900000000000003</v>
      </c>
      <c r="E242" s="86">
        <f t="shared" si="27"/>
        <v>6.0999999999999999E-2</v>
      </c>
      <c r="F242" s="86">
        <f t="shared" si="27"/>
        <v>2.5999999999999999E-2</v>
      </c>
      <c r="G242" s="87">
        <v>0.26</v>
      </c>
      <c r="H242" s="87">
        <v>0.27900000000000003</v>
      </c>
      <c r="I242" s="87">
        <v>6.0999999999999999E-2</v>
      </c>
      <c r="J242" s="87">
        <v>2.5999999999999999E-2</v>
      </c>
      <c r="K242" s="25">
        <f>(L242*4)</f>
        <v>19458</v>
      </c>
      <c r="L242" s="95">
        <f>L230*1.05</f>
        <v>4864.46</v>
      </c>
      <c r="M242" s="82">
        <f t="shared" si="28"/>
        <v>0.6</v>
      </c>
      <c r="N242" s="82">
        <v>0.26</v>
      </c>
      <c r="O242" s="82">
        <f t="shared" si="29"/>
        <v>0.61</v>
      </c>
      <c r="P242" s="82">
        <v>0.34620000000000001</v>
      </c>
      <c r="Q242" s="82">
        <v>0.69640000000000002</v>
      </c>
      <c r="R242" s="82">
        <v>0.6</v>
      </c>
      <c r="S242" s="82">
        <v>0.61</v>
      </c>
    </row>
    <row r="243" spans="1:19">
      <c r="A243" s="19">
        <f t="shared" si="24"/>
        <v>44834</v>
      </c>
      <c r="B243" s="19">
        <f t="shared" si="23"/>
        <v>45198</v>
      </c>
      <c r="C243" s="86">
        <f t="shared" ref="C243:F258" si="30">AVERAGE(G243:G254)</f>
        <v>0.26</v>
      </c>
      <c r="D243" s="86">
        <f t="shared" si="30"/>
        <v>0.27900000000000003</v>
      </c>
      <c r="E243" s="86">
        <f t="shared" si="30"/>
        <v>6.0999999999999999E-2</v>
      </c>
      <c r="F243" s="86">
        <f t="shared" si="30"/>
        <v>2.5999999999999999E-2</v>
      </c>
      <c r="G243" s="87">
        <v>0.26</v>
      </c>
      <c r="H243" s="87">
        <v>0.27900000000000003</v>
      </c>
      <c r="I243" s="87">
        <v>6.0999999999999999E-2</v>
      </c>
      <c r="J243" s="87">
        <v>2.5999999999999999E-2</v>
      </c>
      <c r="K243" s="25">
        <f>((11/3)*L242)+((1/3)*L254)</f>
        <v>19539</v>
      </c>
      <c r="L243" s="95"/>
      <c r="M243" s="82">
        <f t="shared" si="28"/>
        <v>0.6</v>
      </c>
      <c r="N243" s="82">
        <v>0.26</v>
      </c>
      <c r="O243" s="82">
        <f t="shared" si="29"/>
        <v>0.61</v>
      </c>
      <c r="P243" s="82">
        <v>0.34620000000000001</v>
      </c>
      <c r="Q243" s="82">
        <v>0.69640000000000002</v>
      </c>
      <c r="R243" s="82">
        <v>0.6</v>
      </c>
      <c r="S243" s="82">
        <v>0.61</v>
      </c>
    </row>
    <row r="244" spans="1:19">
      <c r="A244" s="19">
        <f t="shared" si="24"/>
        <v>44865</v>
      </c>
      <c r="B244" s="19">
        <f t="shared" si="23"/>
        <v>45229</v>
      </c>
      <c r="C244" s="86">
        <f t="shared" si="30"/>
        <v>0.26</v>
      </c>
      <c r="D244" s="86">
        <f t="shared" si="30"/>
        <v>0.27900000000000003</v>
      </c>
      <c r="E244" s="86">
        <f t="shared" si="30"/>
        <v>6.0999999999999999E-2</v>
      </c>
      <c r="F244" s="86">
        <f t="shared" si="30"/>
        <v>2.5999999999999999E-2</v>
      </c>
      <c r="G244" s="87">
        <v>0.26</v>
      </c>
      <c r="H244" s="87">
        <v>0.27900000000000003</v>
      </c>
      <c r="I244" s="87">
        <v>6.0999999999999999E-2</v>
      </c>
      <c r="J244" s="87">
        <v>2.5999999999999999E-2</v>
      </c>
      <c r="K244" s="25">
        <f>((10/3)*L242)+((2/3)*L254)</f>
        <v>19620</v>
      </c>
      <c r="L244" s="95"/>
      <c r="M244" s="82">
        <f t="shared" si="28"/>
        <v>0.6</v>
      </c>
      <c r="N244" s="82">
        <v>0.26</v>
      </c>
      <c r="O244" s="82">
        <f t="shared" si="29"/>
        <v>0.61</v>
      </c>
      <c r="P244" s="82">
        <v>0.34620000000000001</v>
      </c>
      <c r="Q244" s="82">
        <v>0.69640000000000002</v>
      </c>
      <c r="R244" s="82">
        <v>0.6</v>
      </c>
      <c r="S244" s="82">
        <v>0.61</v>
      </c>
    </row>
    <row r="245" spans="1:19">
      <c r="A245" s="19">
        <f t="shared" si="24"/>
        <v>44895</v>
      </c>
      <c r="B245" s="19">
        <f t="shared" si="23"/>
        <v>45259</v>
      </c>
      <c r="C245" s="86">
        <f t="shared" si="30"/>
        <v>0.26</v>
      </c>
      <c r="D245" s="86">
        <f t="shared" si="30"/>
        <v>0.27900000000000003</v>
      </c>
      <c r="E245" s="86">
        <f t="shared" si="30"/>
        <v>6.0999999999999999E-2</v>
      </c>
      <c r="F245" s="86">
        <f t="shared" si="30"/>
        <v>2.5999999999999999E-2</v>
      </c>
      <c r="G245" s="87">
        <v>0.26</v>
      </c>
      <c r="H245" s="87">
        <v>0.27900000000000003</v>
      </c>
      <c r="I245" s="87">
        <v>6.0999999999999999E-2</v>
      </c>
      <c r="J245" s="87">
        <v>2.5999999999999999E-2</v>
      </c>
      <c r="K245" s="25">
        <f>((9/3)*L242)+((3/3)*L254)</f>
        <v>19701</v>
      </c>
      <c r="L245" s="95"/>
      <c r="M245" s="82">
        <f t="shared" si="28"/>
        <v>0.6</v>
      </c>
      <c r="N245" s="82">
        <v>0.26</v>
      </c>
      <c r="O245" s="82">
        <f t="shared" si="29"/>
        <v>0.61</v>
      </c>
      <c r="P245" s="82">
        <v>0.34620000000000001</v>
      </c>
      <c r="Q245" s="82">
        <v>0.69640000000000002</v>
      </c>
      <c r="R245" s="82">
        <v>0.6</v>
      </c>
      <c r="S245" s="82">
        <v>0.61</v>
      </c>
    </row>
    <row r="246" spans="1:19">
      <c r="A246" s="19">
        <f t="shared" si="24"/>
        <v>44926</v>
      </c>
      <c r="B246" s="19">
        <f t="shared" si="23"/>
        <v>45290</v>
      </c>
      <c r="C246" s="86">
        <f t="shared" si="30"/>
        <v>0.26</v>
      </c>
      <c r="D246" s="86">
        <f t="shared" si="30"/>
        <v>0.27900000000000003</v>
      </c>
      <c r="E246" s="86">
        <f t="shared" si="30"/>
        <v>6.0999999999999999E-2</v>
      </c>
      <c r="F246" s="86">
        <f t="shared" si="30"/>
        <v>2.5999999999999999E-2</v>
      </c>
      <c r="G246" s="87">
        <v>0.26</v>
      </c>
      <c r="H246" s="87">
        <v>0.27900000000000003</v>
      </c>
      <c r="I246" s="87">
        <v>6.0999999999999999E-2</v>
      </c>
      <c r="J246" s="87">
        <v>2.5999999999999999E-2</v>
      </c>
      <c r="K246" s="25">
        <f>((8/3)*L242)+((4/3)*L254)</f>
        <v>19782</v>
      </c>
      <c r="L246" s="95"/>
      <c r="M246" s="82">
        <f t="shared" si="28"/>
        <v>0.6</v>
      </c>
      <c r="N246" s="82">
        <v>0.26</v>
      </c>
      <c r="O246" s="82">
        <f t="shared" si="29"/>
        <v>0.61</v>
      </c>
      <c r="P246" s="82">
        <v>0.34620000000000001</v>
      </c>
      <c r="Q246" s="82">
        <v>0.69640000000000002</v>
      </c>
      <c r="R246" s="82">
        <v>0.6</v>
      </c>
      <c r="S246" s="82">
        <v>0.61</v>
      </c>
    </row>
    <row r="247" spans="1:19">
      <c r="A247" s="19">
        <f t="shared" si="24"/>
        <v>44957</v>
      </c>
      <c r="B247" s="19">
        <f t="shared" si="23"/>
        <v>45321</v>
      </c>
      <c r="C247" s="86">
        <f t="shared" si="30"/>
        <v>0.26</v>
      </c>
      <c r="D247" s="86">
        <f t="shared" si="30"/>
        <v>0.27900000000000003</v>
      </c>
      <c r="E247" s="86">
        <f t="shared" si="30"/>
        <v>6.0999999999999999E-2</v>
      </c>
      <c r="F247" s="86">
        <f t="shared" si="30"/>
        <v>2.5999999999999999E-2</v>
      </c>
      <c r="G247" s="87">
        <v>0.26</v>
      </c>
      <c r="H247" s="87">
        <v>0.27900000000000003</v>
      </c>
      <c r="I247" s="87">
        <v>6.0999999999999999E-2</v>
      </c>
      <c r="J247" s="87">
        <v>2.5999999999999999E-2</v>
      </c>
      <c r="K247" s="25">
        <f>((7/3)*L242)+((5/3)*L254)</f>
        <v>19863</v>
      </c>
      <c r="L247" s="95"/>
      <c r="M247" s="82">
        <f t="shared" si="28"/>
        <v>0.6</v>
      </c>
      <c r="N247" s="82">
        <v>0.26</v>
      </c>
      <c r="O247" s="82">
        <f t="shared" si="29"/>
        <v>0.61</v>
      </c>
      <c r="P247" s="82">
        <v>0.34620000000000001</v>
      </c>
      <c r="Q247" s="82">
        <v>0.69640000000000002</v>
      </c>
      <c r="R247" s="82">
        <v>0.6</v>
      </c>
      <c r="S247" s="82">
        <v>0.61</v>
      </c>
    </row>
    <row r="248" spans="1:19">
      <c r="A248" s="19">
        <f t="shared" si="24"/>
        <v>44985</v>
      </c>
      <c r="B248" s="19">
        <f t="shared" si="23"/>
        <v>45350</v>
      </c>
      <c r="C248" s="86">
        <f t="shared" si="30"/>
        <v>0.26</v>
      </c>
      <c r="D248" s="86">
        <f t="shared" si="30"/>
        <v>0.27900000000000003</v>
      </c>
      <c r="E248" s="86">
        <f t="shared" si="30"/>
        <v>6.0999999999999999E-2</v>
      </c>
      <c r="F248" s="86">
        <f t="shared" si="30"/>
        <v>2.5999999999999999E-2</v>
      </c>
      <c r="G248" s="87">
        <v>0.26</v>
      </c>
      <c r="H248" s="87">
        <v>0.27900000000000003</v>
      </c>
      <c r="I248" s="87">
        <v>6.0999999999999999E-2</v>
      </c>
      <c r="J248" s="87">
        <v>2.5999999999999999E-2</v>
      </c>
      <c r="K248" s="25">
        <f>((6/3)*L242)+((6/3)*L254)</f>
        <v>19944</v>
      </c>
      <c r="L248" s="95"/>
      <c r="M248" s="82">
        <f t="shared" si="28"/>
        <v>0.6</v>
      </c>
      <c r="N248" s="82">
        <v>0.26</v>
      </c>
      <c r="O248" s="82">
        <f t="shared" si="29"/>
        <v>0.61</v>
      </c>
      <c r="P248" s="82">
        <v>0.34620000000000001</v>
      </c>
      <c r="Q248" s="82">
        <v>0.69640000000000002</v>
      </c>
      <c r="R248" s="82">
        <v>0.6</v>
      </c>
      <c r="S248" s="82">
        <v>0.61</v>
      </c>
    </row>
    <row r="249" spans="1:19">
      <c r="A249" s="19">
        <f t="shared" si="24"/>
        <v>45016</v>
      </c>
      <c r="B249" s="19">
        <f t="shared" si="23"/>
        <v>45381</v>
      </c>
      <c r="C249" s="86">
        <f t="shared" si="30"/>
        <v>0.26</v>
      </c>
      <c r="D249" s="86">
        <f t="shared" si="30"/>
        <v>0.27900000000000003</v>
      </c>
      <c r="E249" s="86">
        <f t="shared" si="30"/>
        <v>6.0999999999999999E-2</v>
      </c>
      <c r="F249" s="86">
        <f t="shared" si="30"/>
        <v>2.5999999999999999E-2</v>
      </c>
      <c r="G249" s="87">
        <v>0.26</v>
      </c>
      <c r="H249" s="87">
        <v>0.27900000000000003</v>
      </c>
      <c r="I249" s="87">
        <v>6.0999999999999999E-2</v>
      </c>
      <c r="J249" s="87">
        <v>2.5999999999999999E-2</v>
      </c>
      <c r="K249" s="25">
        <f>((5/3)*L242)+((7/3)*L254)</f>
        <v>20025</v>
      </c>
      <c r="L249" s="95"/>
      <c r="M249" s="82">
        <f t="shared" si="28"/>
        <v>0.6</v>
      </c>
      <c r="N249" s="82">
        <v>0.26</v>
      </c>
      <c r="O249" s="82">
        <f t="shared" si="29"/>
        <v>0.61</v>
      </c>
      <c r="P249" s="82">
        <v>0.34620000000000001</v>
      </c>
      <c r="Q249" s="82">
        <v>0.69640000000000002</v>
      </c>
      <c r="R249" s="82">
        <v>0.6</v>
      </c>
      <c r="S249" s="82">
        <v>0.61</v>
      </c>
    </row>
    <row r="250" spans="1:19">
      <c r="A250" s="19">
        <f t="shared" si="24"/>
        <v>45046</v>
      </c>
      <c r="B250" s="19">
        <f t="shared" si="23"/>
        <v>45411</v>
      </c>
      <c r="C250" s="86">
        <f t="shared" si="30"/>
        <v>0.26</v>
      </c>
      <c r="D250" s="86">
        <f t="shared" si="30"/>
        <v>0.27900000000000003</v>
      </c>
      <c r="E250" s="86">
        <f t="shared" si="30"/>
        <v>6.0999999999999999E-2</v>
      </c>
      <c r="F250" s="86">
        <f t="shared" si="30"/>
        <v>2.5999999999999999E-2</v>
      </c>
      <c r="G250" s="87">
        <v>0.26</v>
      </c>
      <c r="H250" s="87">
        <v>0.27900000000000003</v>
      </c>
      <c r="I250" s="87">
        <v>6.0999999999999999E-2</v>
      </c>
      <c r="J250" s="87">
        <v>2.5999999999999999E-2</v>
      </c>
      <c r="K250" s="25">
        <f>((4/3)*L242)+((8/3)*L254)</f>
        <v>20106</v>
      </c>
      <c r="L250" s="95"/>
      <c r="M250" s="82">
        <f t="shared" si="28"/>
        <v>0.6</v>
      </c>
      <c r="N250" s="82">
        <v>0.26</v>
      </c>
      <c r="O250" s="82">
        <f t="shared" si="29"/>
        <v>0.61</v>
      </c>
      <c r="P250" s="82">
        <v>0.34620000000000001</v>
      </c>
      <c r="Q250" s="82">
        <v>0.69640000000000002</v>
      </c>
      <c r="R250" s="82">
        <v>0.6</v>
      </c>
      <c r="S250" s="82">
        <v>0.61</v>
      </c>
    </row>
    <row r="251" spans="1:19">
      <c r="A251" s="19">
        <f t="shared" si="24"/>
        <v>45077</v>
      </c>
      <c r="B251" s="19">
        <f t="shared" si="23"/>
        <v>45442</v>
      </c>
      <c r="C251" s="86">
        <f t="shared" si="30"/>
        <v>0.26</v>
      </c>
      <c r="D251" s="86">
        <f t="shared" si="30"/>
        <v>0.27900000000000003</v>
      </c>
      <c r="E251" s="86">
        <f t="shared" si="30"/>
        <v>6.0999999999999999E-2</v>
      </c>
      <c r="F251" s="86">
        <f t="shared" si="30"/>
        <v>2.5999999999999999E-2</v>
      </c>
      <c r="G251" s="87">
        <v>0.26</v>
      </c>
      <c r="H251" s="87">
        <v>0.27900000000000003</v>
      </c>
      <c r="I251" s="87">
        <v>6.0999999999999999E-2</v>
      </c>
      <c r="J251" s="87">
        <v>2.5999999999999999E-2</v>
      </c>
      <c r="K251" s="25">
        <f>((3/3)*L242)+((9/3)*L254)</f>
        <v>20188</v>
      </c>
      <c r="L251" s="95"/>
      <c r="M251" s="82">
        <f t="shared" si="28"/>
        <v>0.6</v>
      </c>
      <c r="N251" s="82">
        <v>0.26</v>
      </c>
      <c r="O251" s="82">
        <f t="shared" si="29"/>
        <v>0.61</v>
      </c>
      <c r="P251" s="82">
        <v>0.34620000000000001</v>
      </c>
      <c r="Q251" s="82">
        <v>0.69640000000000002</v>
      </c>
      <c r="R251" s="82">
        <v>0.6</v>
      </c>
      <c r="S251" s="82">
        <v>0.61</v>
      </c>
    </row>
    <row r="252" spans="1:19">
      <c r="A252" s="19">
        <f t="shared" si="24"/>
        <v>45107</v>
      </c>
      <c r="B252" s="19">
        <f t="shared" si="23"/>
        <v>45472</v>
      </c>
      <c r="C252" s="86">
        <f t="shared" si="30"/>
        <v>0.26</v>
      </c>
      <c r="D252" s="86">
        <f t="shared" si="30"/>
        <v>0.27900000000000003</v>
      </c>
      <c r="E252" s="86">
        <f t="shared" si="30"/>
        <v>6.0999999999999999E-2</v>
      </c>
      <c r="F252" s="86">
        <f t="shared" si="30"/>
        <v>2.5999999999999999E-2</v>
      </c>
      <c r="G252" s="87">
        <v>0.26</v>
      </c>
      <c r="H252" s="87">
        <v>0.27900000000000003</v>
      </c>
      <c r="I252" s="87">
        <v>6.0999999999999999E-2</v>
      </c>
      <c r="J252" s="87">
        <v>2.5999999999999999E-2</v>
      </c>
      <c r="K252" s="25">
        <f>((2/3)*L242)+((10/3)*L254)</f>
        <v>20269</v>
      </c>
      <c r="L252" s="95"/>
      <c r="M252" s="82">
        <f t="shared" si="28"/>
        <v>0.6</v>
      </c>
      <c r="N252" s="82">
        <v>0.26</v>
      </c>
      <c r="O252" s="82">
        <f t="shared" si="29"/>
        <v>0.61</v>
      </c>
      <c r="P252" s="82">
        <v>0.34620000000000001</v>
      </c>
      <c r="Q252" s="82">
        <v>0.69640000000000002</v>
      </c>
      <c r="R252" s="82">
        <v>0.6</v>
      </c>
      <c r="S252" s="82">
        <v>0.61</v>
      </c>
    </row>
    <row r="253" spans="1:19">
      <c r="A253" s="19">
        <f t="shared" si="24"/>
        <v>45138</v>
      </c>
      <c r="B253" s="19">
        <f t="shared" si="23"/>
        <v>45503</v>
      </c>
      <c r="C253" s="83">
        <f t="shared" si="30"/>
        <v>0.26</v>
      </c>
      <c r="D253" s="83">
        <f t="shared" si="30"/>
        <v>0.27900000000000003</v>
      </c>
      <c r="E253" s="83">
        <f t="shared" si="30"/>
        <v>6.0999999999999999E-2</v>
      </c>
      <c r="F253" s="83">
        <f t="shared" si="30"/>
        <v>2.5999999999999999E-2</v>
      </c>
      <c r="G253" s="87">
        <v>0.26</v>
      </c>
      <c r="H253" s="87">
        <v>0.27900000000000003</v>
      </c>
      <c r="I253" s="87">
        <v>6.0999999999999999E-2</v>
      </c>
      <c r="J253" s="87">
        <v>2.5999999999999999E-2</v>
      </c>
      <c r="K253" s="25">
        <f>((1/3)*L242)+((11/3)*L254)</f>
        <v>20350</v>
      </c>
      <c r="L253" s="95"/>
      <c r="M253" s="82">
        <f t="shared" si="28"/>
        <v>0.6</v>
      </c>
      <c r="N253" s="82">
        <v>0.26</v>
      </c>
      <c r="O253" s="82">
        <f t="shared" si="29"/>
        <v>0.61</v>
      </c>
      <c r="P253" s="82">
        <v>0.34620000000000001</v>
      </c>
      <c r="Q253" s="82">
        <v>0.69640000000000002</v>
      </c>
      <c r="R253" s="82">
        <v>0.6</v>
      </c>
      <c r="S253" s="82">
        <v>0.61</v>
      </c>
    </row>
    <row r="254" spans="1:19" s="80" customFormat="1">
      <c r="A254" s="79">
        <f t="shared" si="24"/>
        <v>45169</v>
      </c>
      <c r="B254" s="79">
        <f t="shared" si="23"/>
        <v>45534</v>
      </c>
      <c r="C254" s="88">
        <f t="shared" si="30"/>
        <v>0.26</v>
      </c>
      <c r="D254" s="88">
        <f t="shared" si="30"/>
        <v>0.27900000000000003</v>
      </c>
      <c r="E254" s="88">
        <f t="shared" si="30"/>
        <v>6.0999999999999999E-2</v>
      </c>
      <c r="F254" s="88">
        <f t="shared" si="30"/>
        <v>2.5999999999999999E-2</v>
      </c>
      <c r="G254" s="89">
        <v>0.26</v>
      </c>
      <c r="H254" s="89">
        <v>0.27900000000000003</v>
      </c>
      <c r="I254" s="89">
        <v>6.0999999999999999E-2</v>
      </c>
      <c r="J254" s="89">
        <v>2.5999999999999999E-2</v>
      </c>
      <c r="K254" s="78">
        <f>(L254*4)</f>
        <v>20431</v>
      </c>
      <c r="L254" s="96">
        <f>L242*1.05</f>
        <v>5107.68</v>
      </c>
      <c r="M254" s="355">
        <f t="shared" si="28"/>
        <v>0.6</v>
      </c>
      <c r="N254" s="355">
        <v>0.26</v>
      </c>
      <c r="O254" s="355">
        <f t="shared" si="29"/>
        <v>0.61</v>
      </c>
      <c r="P254" s="355">
        <v>0.34620000000000001</v>
      </c>
      <c r="Q254" s="355">
        <v>0.69640000000000002</v>
      </c>
      <c r="R254" s="355">
        <v>0.6</v>
      </c>
      <c r="S254" s="355">
        <v>0.61</v>
      </c>
    </row>
    <row r="255" spans="1:19" s="80" customFormat="1">
      <c r="A255" s="79">
        <f t="shared" si="24"/>
        <v>45199</v>
      </c>
      <c r="B255" s="79">
        <f t="shared" si="23"/>
        <v>45564</v>
      </c>
      <c r="C255" s="88">
        <f t="shared" si="30"/>
        <v>0.26</v>
      </c>
      <c r="D255" s="88">
        <f t="shared" si="30"/>
        <v>0.27900000000000003</v>
      </c>
      <c r="E255" s="88">
        <f t="shared" si="30"/>
        <v>6.0999999999999999E-2</v>
      </c>
      <c r="F255" s="88">
        <f t="shared" si="30"/>
        <v>2.5999999999999999E-2</v>
      </c>
      <c r="G255" s="89">
        <v>0.26</v>
      </c>
      <c r="H255" s="89">
        <v>0.27900000000000003</v>
      </c>
      <c r="I255" s="89">
        <v>6.0999999999999999E-2</v>
      </c>
      <c r="J255" s="89">
        <v>2.5999999999999999E-2</v>
      </c>
      <c r="K255" s="78">
        <f>((11/3)*L254)+((1/3)*L266)</f>
        <v>20516</v>
      </c>
      <c r="L255" s="96"/>
      <c r="M255" s="355">
        <f t="shared" si="28"/>
        <v>0.6</v>
      </c>
      <c r="N255" s="355">
        <v>0.26</v>
      </c>
      <c r="O255" s="355">
        <f t="shared" si="29"/>
        <v>0.61</v>
      </c>
      <c r="P255" s="355">
        <v>0.34620000000000001</v>
      </c>
      <c r="Q255" s="355">
        <v>0.69640000000000002</v>
      </c>
      <c r="R255" s="355">
        <v>0.6</v>
      </c>
      <c r="S255" s="355">
        <v>0.61</v>
      </c>
    </row>
    <row r="256" spans="1:19" s="80" customFormat="1">
      <c r="A256" s="79">
        <f t="shared" si="24"/>
        <v>45230</v>
      </c>
      <c r="B256" s="79">
        <f t="shared" si="23"/>
        <v>45595</v>
      </c>
      <c r="C256" s="88">
        <f t="shared" si="30"/>
        <v>0.26</v>
      </c>
      <c r="D256" s="88">
        <f t="shared" si="30"/>
        <v>0.27900000000000003</v>
      </c>
      <c r="E256" s="88">
        <f t="shared" si="30"/>
        <v>6.0999999999999999E-2</v>
      </c>
      <c r="F256" s="88">
        <f t="shared" si="30"/>
        <v>2.5999999999999999E-2</v>
      </c>
      <c r="G256" s="89">
        <v>0.26</v>
      </c>
      <c r="H256" s="89">
        <v>0.27900000000000003</v>
      </c>
      <c r="I256" s="89">
        <v>6.0999999999999999E-2</v>
      </c>
      <c r="J256" s="89">
        <v>2.5999999999999999E-2</v>
      </c>
      <c r="K256" s="78">
        <f>((10/3)*L254)+((2/3)*L266)</f>
        <v>20601</v>
      </c>
      <c r="L256" s="96"/>
      <c r="M256" s="355">
        <f t="shared" si="28"/>
        <v>0.6</v>
      </c>
      <c r="N256" s="355">
        <v>0.26</v>
      </c>
      <c r="O256" s="355">
        <f t="shared" si="29"/>
        <v>0.61</v>
      </c>
      <c r="P256" s="355">
        <v>0.34620000000000001</v>
      </c>
      <c r="Q256" s="355">
        <v>0.69640000000000002</v>
      </c>
      <c r="R256" s="355">
        <v>0.6</v>
      </c>
      <c r="S256" s="355">
        <v>0.61</v>
      </c>
    </row>
    <row r="257" spans="1:19" s="80" customFormat="1">
      <c r="A257" s="79">
        <f t="shared" si="24"/>
        <v>45260</v>
      </c>
      <c r="B257" s="79">
        <f t="shared" si="23"/>
        <v>45625</v>
      </c>
      <c r="C257" s="88">
        <f t="shared" si="30"/>
        <v>0.26</v>
      </c>
      <c r="D257" s="88">
        <f t="shared" si="30"/>
        <v>0.27900000000000003</v>
      </c>
      <c r="E257" s="88">
        <f t="shared" si="30"/>
        <v>6.0999999999999999E-2</v>
      </c>
      <c r="F257" s="88">
        <f t="shared" si="30"/>
        <v>2.5999999999999999E-2</v>
      </c>
      <c r="G257" s="89">
        <v>0.26</v>
      </c>
      <c r="H257" s="89">
        <v>0.27900000000000003</v>
      </c>
      <c r="I257" s="89">
        <v>6.0999999999999999E-2</v>
      </c>
      <c r="J257" s="89">
        <v>2.5999999999999999E-2</v>
      </c>
      <c r="K257" s="78">
        <f>((9/3)*L254)+((3/3)*L266)</f>
        <v>20686</v>
      </c>
      <c r="L257" s="96"/>
      <c r="M257" s="355">
        <f t="shared" si="28"/>
        <v>0.6</v>
      </c>
      <c r="N257" s="355">
        <v>0.26</v>
      </c>
      <c r="O257" s="355">
        <f t="shared" si="29"/>
        <v>0.61</v>
      </c>
      <c r="P257" s="355">
        <v>0.34620000000000001</v>
      </c>
      <c r="Q257" s="355">
        <v>0.69640000000000002</v>
      </c>
      <c r="R257" s="355">
        <v>0.6</v>
      </c>
      <c r="S257" s="355">
        <v>0.61</v>
      </c>
    </row>
    <row r="258" spans="1:19" s="80" customFormat="1">
      <c r="A258" s="79">
        <f t="shared" si="24"/>
        <v>45291</v>
      </c>
      <c r="B258" s="79">
        <f t="shared" ref="B258:B321" si="31">EDATE(A258,12)-1</f>
        <v>45656</v>
      </c>
      <c r="C258" s="88">
        <f t="shared" si="30"/>
        <v>0.26</v>
      </c>
      <c r="D258" s="88">
        <f t="shared" si="30"/>
        <v>0.27900000000000003</v>
      </c>
      <c r="E258" s="88">
        <f t="shared" si="30"/>
        <v>6.0999999999999999E-2</v>
      </c>
      <c r="F258" s="88">
        <f t="shared" si="30"/>
        <v>2.5999999999999999E-2</v>
      </c>
      <c r="G258" s="89">
        <v>0.26</v>
      </c>
      <c r="H258" s="89">
        <v>0.27900000000000003</v>
      </c>
      <c r="I258" s="89">
        <v>6.0999999999999999E-2</v>
      </c>
      <c r="J258" s="89">
        <v>2.5999999999999999E-2</v>
      </c>
      <c r="K258" s="78">
        <f>((8/3)*L254)+((4/3)*L266)</f>
        <v>20771</v>
      </c>
      <c r="L258" s="96"/>
      <c r="M258" s="355">
        <f t="shared" si="28"/>
        <v>0.6</v>
      </c>
      <c r="N258" s="355">
        <v>0.26</v>
      </c>
      <c r="O258" s="355">
        <f t="shared" si="29"/>
        <v>0.61</v>
      </c>
      <c r="P258" s="355">
        <v>0.34620000000000001</v>
      </c>
      <c r="Q258" s="355">
        <v>0.69640000000000002</v>
      </c>
      <c r="R258" s="355">
        <v>0.6</v>
      </c>
      <c r="S258" s="355">
        <v>0.61</v>
      </c>
    </row>
    <row r="259" spans="1:19" s="80" customFormat="1">
      <c r="A259" s="79">
        <f t="shared" ref="A259:A322" si="32">EDATE(A258,1)</f>
        <v>45322</v>
      </c>
      <c r="B259" s="79">
        <f t="shared" si="31"/>
        <v>45687</v>
      </c>
      <c r="C259" s="88">
        <f t="shared" ref="C259:F274" si="33">AVERAGE(G259:G270)</f>
        <v>0.26</v>
      </c>
      <c r="D259" s="88">
        <f t="shared" si="33"/>
        <v>0.27900000000000003</v>
      </c>
      <c r="E259" s="88">
        <f t="shared" si="33"/>
        <v>6.0999999999999999E-2</v>
      </c>
      <c r="F259" s="88">
        <f t="shared" si="33"/>
        <v>2.5999999999999999E-2</v>
      </c>
      <c r="G259" s="89">
        <v>0.26</v>
      </c>
      <c r="H259" s="89">
        <v>0.27900000000000003</v>
      </c>
      <c r="I259" s="89">
        <v>6.0999999999999999E-2</v>
      </c>
      <c r="J259" s="89">
        <v>2.5999999999999999E-2</v>
      </c>
      <c r="K259" s="78">
        <f>((7/3)*L254)+((5/3)*L266)</f>
        <v>20856</v>
      </c>
      <c r="L259" s="96"/>
      <c r="M259" s="355">
        <f t="shared" si="28"/>
        <v>0.6</v>
      </c>
      <c r="N259" s="355">
        <v>0.26</v>
      </c>
      <c r="O259" s="355">
        <f t="shared" si="29"/>
        <v>0.61</v>
      </c>
      <c r="P259" s="355">
        <v>0.34620000000000001</v>
      </c>
      <c r="Q259" s="355">
        <v>0.69640000000000002</v>
      </c>
      <c r="R259" s="355">
        <v>0.6</v>
      </c>
      <c r="S259" s="355">
        <v>0.61</v>
      </c>
    </row>
    <row r="260" spans="1:19" s="80" customFormat="1">
      <c r="A260" s="79">
        <f t="shared" si="32"/>
        <v>45351</v>
      </c>
      <c r="B260" s="79">
        <f t="shared" si="31"/>
        <v>45715</v>
      </c>
      <c r="C260" s="88">
        <f t="shared" si="33"/>
        <v>0.26</v>
      </c>
      <c r="D260" s="88">
        <f t="shared" si="33"/>
        <v>0.27900000000000003</v>
      </c>
      <c r="E260" s="88">
        <f t="shared" si="33"/>
        <v>6.0999999999999999E-2</v>
      </c>
      <c r="F260" s="88">
        <f t="shared" si="33"/>
        <v>2.5999999999999999E-2</v>
      </c>
      <c r="G260" s="89">
        <v>0.26</v>
      </c>
      <c r="H260" s="89">
        <v>0.27900000000000003</v>
      </c>
      <c r="I260" s="89">
        <v>6.0999999999999999E-2</v>
      </c>
      <c r="J260" s="89">
        <v>2.5999999999999999E-2</v>
      </c>
      <c r="K260" s="78">
        <f>((6/3)*L254)+((6/3)*L266)</f>
        <v>20941</v>
      </c>
      <c r="L260" s="96"/>
      <c r="M260" s="355">
        <f t="shared" si="28"/>
        <v>0.6</v>
      </c>
      <c r="N260" s="355">
        <v>0.26</v>
      </c>
      <c r="O260" s="355">
        <f t="shared" si="29"/>
        <v>0.61</v>
      </c>
      <c r="P260" s="355">
        <v>0.34620000000000001</v>
      </c>
      <c r="Q260" s="355">
        <v>0.69640000000000002</v>
      </c>
      <c r="R260" s="355">
        <v>0.6</v>
      </c>
      <c r="S260" s="355">
        <v>0.61</v>
      </c>
    </row>
    <row r="261" spans="1:19" s="80" customFormat="1">
      <c r="A261" s="79">
        <f t="shared" si="32"/>
        <v>45382</v>
      </c>
      <c r="B261" s="79">
        <f t="shared" si="31"/>
        <v>45746</v>
      </c>
      <c r="C261" s="88">
        <f t="shared" si="33"/>
        <v>0.26</v>
      </c>
      <c r="D261" s="88">
        <f t="shared" si="33"/>
        <v>0.27900000000000003</v>
      </c>
      <c r="E261" s="88">
        <f t="shared" si="33"/>
        <v>6.0999999999999999E-2</v>
      </c>
      <c r="F261" s="88">
        <f t="shared" si="33"/>
        <v>2.5999999999999999E-2</v>
      </c>
      <c r="G261" s="89">
        <v>0.26</v>
      </c>
      <c r="H261" s="89">
        <v>0.27900000000000003</v>
      </c>
      <c r="I261" s="89">
        <v>6.0999999999999999E-2</v>
      </c>
      <c r="J261" s="89">
        <v>2.5999999999999999E-2</v>
      </c>
      <c r="K261" s="78">
        <f>((5/3)*L254)+((7/3)*L266)</f>
        <v>21027</v>
      </c>
      <c r="L261" s="96"/>
      <c r="M261" s="355">
        <f t="shared" si="28"/>
        <v>0.6</v>
      </c>
      <c r="N261" s="355">
        <v>0.26</v>
      </c>
      <c r="O261" s="355">
        <f t="shared" si="29"/>
        <v>0.61</v>
      </c>
      <c r="P261" s="355">
        <v>0.34620000000000001</v>
      </c>
      <c r="Q261" s="355">
        <v>0.69640000000000002</v>
      </c>
      <c r="R261" s="355">
        <v>0.6</v>
      </c>
      <c r="S261" s="355">
        <v>0.61</v>
      </c>
    </row>
    <row r="262" spans="1:19" s="80" customFormat="1">
      <c r="A262" s="79">
        <f t="shared" si="32"/>
        <v>45412</v>
      </c>
      <c r="B262" s="79">
        <f t="shared" si="31"/>
        <v>45776</v>
      </c>
      <c r="C262" s="88">
        <f t="shared" si="33"/>
        <v>0.26</v>
      </c>
      <c r="D262" s="88">
        <f t="shared" si="33"/>
        <v>0.27900000000000003</v>
      </c>
      <c r="E262" s="88">
        <f t="shared" si="33"/>
        <v>6.0999999999999999E-2</v>
      </c>
      <c r="F262" s="88">
        <f t="shared" si="33"/>
        <v>2.5999999999999999E-2</v>
      </c>
      <c r="G262" s="89">
        <v>0.26</v>
      </c>
      <c r="H262" s="89">
        <v>0.27900000000000003</v>
      </c>
      <c r="I262" s="89">
        <v>6.0999999999999999E-2</v>
      </c>
      <c r="J262" s="89">
        <v>2.5999999999999999E-2</v>
      </c>
      <c r="K262" s="78">
        <f>((4/3)*L254)+((8/3)*L266)</f>
        <v>21112</v>
      </c>
      <c r="L262" s="96"/>
      <c r="M262" s="355">
        <f t="shared" si="28"/>
        <v>0.6</v>
      </c>
      <c r="N262" s="355">
        <v>0.26</v>
      </c>
      <c r="O262" s="355">
        <f t="shared" si="29"/>
        <v>0.61</v>
      </c>
      <c r="P262" s="355">
        <v>0.34620000000000001</v>
      </c>
      <c r="Q262" s="355">
        <v>0.69640000000000002</v>
      </c>
      <c r="R262" s="355">
        <v>0.6</v>
      </c>
      <c r="S262" s="355">
        <v>0.61</v>
      </c>
    </row>
    <row r="263" spans="1:19" s="80" customFormat="1">
      <c r="A263" s="79">
        <f t="shared" si="32"/>
        <v>45443</v>
      </c>
      <c r="B263" s="79">
        <f t="shared" si="31"/>
        <v>45807</v>
      </c>
      <c r="C263" s="88">
        <f t="shared" si="33"/>
        <v>0.26</v>
      </c>
      <c r="D263" s="88">
        <f t="shared" si="33"/>
        <v>0.27900000000000003</v>
      </c>
      <c r="E263" s="88">
        <f t="shared" si="33"/>
        <v>6.0999999999999999E-2</v>
      </c>
      <c r="F263" s="88">
        <f t="shared" si="33"/>
        <v>2.5999999999999999E-2</v>
      </c>
      <c r="G263" s="89">
        <v>0.26</v>
      </c>
      <c r="H263" s="89">
        <v>0.27900000000000003</v>
      </c>
      <c r="I263" s="89">
        <v>6.0999999999999999E-2</v>
      </c>
      <c r="J263" s="89">
        <v>2.5999999999999999E-2</v>
      </c>
      <c r="K263" s="78">
        <f>((3/3)*L254)+((9/3)*L266)</f>
        <v>21197</v>
      </c>
      <c r="L263" s="96"/>
      <c r="M263" s="355">
        <f t="shared" si="28"/>
        <v>0.6</v>
      </c>
      <c r="N263" s="355">
        <v>0.26</v>
      </c>
      <c r="O263" s="355">
        <f t="shared" si="29"/>
        <v>0.61</v>
      </c>
      <c r="P263" s="355">
        <v>0.34620000000000001</v>
      </c>
      <c r="Q263" s="355">
        <v>0.69640000000000002</v>
      </c>
      <c r="R263" s="355">
        <v>0.6</v>
      </c>
      <c r="S263" s="355">
        <v>0.61</v>
      </c>
    </row>
    <row r="264" spans="1:19" s="80" customFormat="1">
      <c r="A264" s="79">
        <f t="shared" si="32"/>
        <v>45473</v>
      </c>
      <c r="B264" s="79">
        <f t="shared" si="31"/>
        <v>45837</v>
      </c>
      <c r="C264" s="88">
        <f t="shared" si="33"/>
        <v>0.26</v>
      </c>
      <c r="D264" s="88">
        <f t="shared" si="33"/>
        <v>0.27900000000000003</v>
      </c>
      <c r="E264" s="88">
        <f t="shared" si="33"/>
        <v>6.0999999999999999E-2</v>
      </c>
      <c r="F264" s="88">
        <f t="shared" si="33"/>
        <v>2.5999999999999999E-2</v>
      </c>
      <c r="G264" s="89">
        <v>0.26</v>
      </c>
      <c r="H264" s="89">
        <v>0.27900000000000003</v>
      </c>
      <c r="I264" s="89">
        <v>6.0999999999999999E-2</v>
      </c>
      <c r="J264" s="89">
        <v>2.5999999999999999E-2</v>
      </c>
      <c r="K264" s="78">
        <f>((2/3)*L254)+((10/3)*L266)</f>
        <v>21282</v>
      </c>
      <c r="L264" s="96"/>
      <c r="M264" s="355">
        <f t="shared" si="28"/>
        <v>0.6</v>
      </c>
      <c r="N264" s="355">
        <v>0.26</v>
      </c>
      <c r="O264" s="355">
        <f t="shared" si="29"/>
        <v>0.61</v>
      </c>
      <c r="P264" s="355">
        <v>0.34620000000000001</v>
      </c>
      <c r="Q264" s="355">
        <v>0.69640000000000002</v>
      </c>
      <c r="R264" s="355">
        <v>0.6</v>
      </c>
      <c r="S264" s="355">
        <v>0.61</v>
      </c>
    </row>
    <row r="265" spans="1:19" s="80" customFormat="1">
      <c r="A265" s="79">
        <f t="shared" si="32"/>
        <v>45504</v>
      </c>
      <c r="B265" s="79">
        <f t="shared" si="31"/>
        <v>45868</v>
      </c>
      <c r="C265" s="88">
        <f t="shared" si="33"/>
        <v>0.26</v>
      </c>
      <c r="D265" s="88">
        <f t="shared" si="33"/>
        <v>0.27900000000000003</v>
      </c>
      <c r="E265" s="88">
        <f t="shared" si="33"/>
        <v>6.0999999999999999E-2</v>
      </c>
      <c r="F265" s="88">
        <f t="shared" si="33"/>
        <v>2.5999999999999999E-2</v>
      </c>
      <c r="G265" s="89">
        <v>0.26</v>
      </c>
      <c r="H265" s="89">
        <v>0.27900000000000003</v>
      </c>
      <c r="I265" s="89">
        <v>6.0999999999999999E-2</v>
      </c>
      <c r="J265" s="89">
        <v>2.5999999999999999E-2</v>
      </c>
      <c r="K265" s="78">
        <f>((1/3)*L254)+((11/3)*L266)</f>
        <v>21367</v>
      </c>
      <c r="L265" s="96"/>
      <c r="M265" s="355">
        <f t="shared" si="28"/>
        <v>0.6</v>
      </c>
      <c r="N265" s="355">
        <v>0.26</v>
      </c>
      <c r="O265" s="355">
        <f t="shared" si="29"/>
        <v>0.61</v>
      </c>
      <c r="P265" s="355">
        <v>0.34620000000000001</v>
      </c>
      <c r="Q265" s="355">
        <v>0.69640000000000002</v>
      </c>
      <c r="R265" s="355">
        <v>0.6</v>
      </c>
      <c r="S265" s="355">
        <v>0.61</v>
      </c>
    </row>
    <row r="266" spans="1:19">
      <c r="A266" s="19">
        <f t="shared" si="32"/>
        <v>45535</v>
      </c>
      <c r="B266" s="19">
        <f t="shared" si="31"/>
        <v>45899</v>
      </c>
      <c r="C266" s="86">
        <f t="shared" si="33"/>
        <v>0.26</v>
      </c>
      <c r="D266" s="86">
        <f t="shared" si="33"/>
        <v>0.27900000000000003</v>
      </c>
      <c r="E266" s="86">
        <f t="shared" si="33"/>
        <v>6.0999999999999999E-2</v>
      </c>
      <c r="F266" s="86">
        <f t="shared" si="33"/>
        <v>2.5999999999999999E-2</v>
      </c>
      <c r="G266" s="87">
        <v>0.26</v>
      </c>
      <c r="H266" s="87">
        <v>0.27900000000000003</v>
      </c>
      <c r="I266" s="87">
        <v>6.0999999999999999E-2</v>
      </c>
      <c r="J266" s="87">
        <v>2.5999999999999999E-2</v>
      </c>
      <c r="K266" s="25">
        <f>(L266*4)</f>
        <v>21452</v>
      </c>
      <c r="L266" s="95">
        <f>L254*1.05</f>
        <v>5363.06</v>
      </c>
      <c r="M266" s="82">
        <f t="shared" si="28"/>
        <v>0.6</v>
      </c>
      <c r="N266" s="82">
        <v>0.26</v>
      </c>
      <c r="O266" s="82">
        <f t="shared" si="29"/>
        <v>0.61</v>
      </c>
      <c r="P266" s="82">
        <v>0.34620000000000001</v>
      </c>
      <c r="Q266" s="82">
        <v>0.69640000000000002</v>
      </c>
      <c r="R266" s="82">
        <v>0.6</v>
      </c>
      <c r="S266" s="82">
        <v>0.61</v>
      </c>
    </row>
    <row r="267" spans="1:19">
      <c r="A267" s="19">
        <f t="shared" si="32"/>
        <v>45565</v>
      </c>
      <c r="B267" s="19">
        <f t="shared" si="31"/>
        <v>45929</v>
      </c>
      <c r="C267" s="86">
        <f t="shared" si="33"/>
        <v>0.26</v>
      </c>
      <c r="D267" s="86">
        <f t="shared" si="33"/>
        <v>0.27900000000000003</v>
      </c>
      <c r="E267" s="86">
        <f t="shared" si="33"/>
        <v>6.0999999999999999E-2</v>
      </c>
      <c r="F267" s="86">
        <f t="shared" si="33"/>
        <v>2.5999999999999999E-2</v>
      </c>
      <c r="G267" s="87">
        <v>0.26</v>
      </c>
      <c r="H267" s="87">
        <v>0.27900000000000003</v>
      </c>
      <c r="I267" s="87">
        <v>6.0999999999999999E-2</v>
      </c>
      <c r="J267" s="87">
        <v>2.5999999999999999E-2</v>
      </c>
      <c r="K267" s="25">
        <f>((11/3)*L266)+((1/3)*L278)</f>
        <v>21542</v>
      </c>
      <c r="L267" s="95"/>
      <c r="M267" s="82">
        <f t="shared" si="28"/>
        <v>0.6</v>
      </c>
      <c r="N267" s="82">
        <v>0.26</v>
      </c>
      <c r="O267" s="82">
        <f t="shared" si="29"/>
        <v>0.61</v>
      </c>
      <c r="P267" s="82">
        <v>0.34620000000000001</v>
      </c>
      <c r="Q267" s="82">
        <v>0.69640000000000002</v>
      </c>
      <c r="R267" s="82">
        <v>0.6</v>
      </c>
      <c r="S267" s="82">
        <v>0.61</v>
      </c>
    </row>
    <row r="268" spans="1:19">
      <c r="A268" s="19">
        <f t="shared" si="32"/>
        <v>45596</v>
      </c>
      <c r="B268" s="19">
        <f t="shared" si="31"/>
        <v>45960</v>
      </c>
      <c r="C268" s="86">
        <f t="shared" si="33"/>
        <v>0.26</v>
      </c>
      <c r="D268" s="86">
        <f t="shared" si="33"/>
        <v>0.27900000000000003</v>
      </c>
      <c r="E268" s="86">
        <f t="shared" si="33"/>
        <v>6.0999999999999999E-2</v>
      </c>
      <c r="F268" s="86">
        <f t="shared" si="33"/>
        <v>2.5999999999999999E-2</v>
      </c>
      <c r="G268" s="87">
        <v>0.26</v>
      </c>
      <c r="H268" s="87">
        <v>0.27900000000000003</v>
      </c>
      <c r="I268" s="87">
        <v>6.0999999999999999E-2</v>
      </c>
      <c r="J268" s="87">
        <v>2.5999999999999999E-2</v>
      </c>
      <c r="K268" s="25">
        <f>((10/3)*L266)+((2/3)*L278)</f>
        <v>21631</v>
      </c>
      <c r="L268" s="95"/>
      <c r="M268" s="82">
        <f t="shared" si="28"/>
        <v>0.6</v>
      </c>
      <c r="N268" s="82">
        <v>0.26</v>
      </c>
      <c r="O268" s="82">
        <f t="shared" si="29"/>
        <v>0.61</v>
      </c>
      <c r="P268" s="82">
        <v>0.34620000000000001</v>
      </c>
      <c r="Q268" s="82">
        <v>0.69640000000000002</v>
      </c>
      <c r="R268" s="82">
        <v>0.6</v>
      </c>
      <c r="S268" s="82">
        <v>0.61</v>
      </c>
    </row>
    <row r="269" spans="1:19">
      <c r="A269" s="19">
        <f t="shared" si="32"/>
        <v>45626</v>
      </c>
      <c r="B269" s="19">
        <f t="shared" si="31"/>
        <v>45990</v>
      </c>
      <c r="C269" s="86">
        <f t="shared" si="33"/>
        <v>0.26</v>
      </c>
      <c r="D269" s="86">
        <f t="shared" si="33"/>
        <v>0.27900000000000003</v>
      </c>
      <c r="E269" s="86">
        <f t="shared" si="33"/>
        <v>6.0999999999999999E-2</v>
      </c>
      <c r="F269" s="86">
        <f t="shared" si="33"/>
        <v>2.5999999999999999E-2</v>
      </c>
      <c r="G269" s="87">
        <v>0.26</v>
      </c>
      <c r="H269" s="87">
        <v>0.27900000000000003</v>
      </c>
      <c r="I269" s="87">
        <v>6.0999999999999999E-2</v>
      </c>
      <c r="J269" s="87">
        <v>2.5999999999999999E-2</v>
      </c>
      <c r="K269" s="25">
        <f>((9/3)*L266)+((3/3)*L278)</f>
        <v>21720</v>
      </c>
      <c r="L269" s="95"/>
      <c r="M269" s="82">
        <f t="shared" si="28"/>
        <v>0.6</v>
      </c>
      <c r="N269" s="82">
        <v>0.26</v>
      </c>
      <c r="O269" s="82">
        <f t="shared" si="29"/>
        <v>0.61</v>
      </c>
      <c r="P269" s="82">
        <v>0.34620000000000001</v>
      </c>
      <c r="Q269" s="82">
        <v>0.69640000000000002</v>
      </c>
      <c r="R269" s="82">
        <v>0.6</v>
      </c>
      <c r="S269" s="82">
        <v>0.61</v>
      </c>
    </row>
    <row r="270" spans="1:19">
      <c r="A270" s="19">
        <f t="shared" si="32"/>
        <v>45657</v>
      </c>
      <c r="B270" s="19">
        <f t="shared" si="31"/>
        <v>46021</v>
      </c>
      <c r="C270" s="86">
        <f t="shared" si="33"/>
        <v>0.26</v>
      </c>
      <c r="D270" s="86">
        <f t="shared" si="33"/>
        <v>0.27900000000000003</v>
      </c>
      <c r="E270" s="86">
        <f t="shared" si="33"/>
        <v>6.0999999999999999E-2</v>
      </c>
      <c r="F270" s="86">
        <f t="shared" si="33"/>
        <v>2.5999999999999999E-2</v>
      </c>
      <c r="G270" s="87">
        <v>0.26</v>
      </c>
      <c r="H270" s="87">
        <v>0.27900000000000003</v>
      </c>
      <c r="I270" s="87">
        <v>6.0999999999999999E-2</v>
      </c>
      <c r="J270" s="87">
        <v>2.5999999999999999E-2</v>
      </c>
      <c r="K270" s="25">
        <f>((8/3)*L266)+((4/3)*L278)</f>
        <v>21810</v>
      </c>
      <c r="L270" s="95"/>
      <c r="M270" s="82">
        <f t="shared" si="28"/>
        <v>0.6</v>
      </c>
      <c r="N270" s="82">
        <v>0.26</v>
      </c>
      <c r="O270" s="82">
        <f t="shared" si="29"/>
        <v>0.61</v>
      </c>
      <c r="P270" s="82">
        <v>0.34620000000000001</v>
      </c>
      <c r="Q270" s="82">
        <v>0.69640000000000002</v>
      </c>
      <c r="R270" s="82">
        <v>0.6</v>
      </c>
      <c r="S270" s="82">
        <v>0.61</v>
      </c>
    </row>
    <row r="271" spans="1:19">
      <c r="A271" s="19">
        <f t="shared" si="32"/>
        <v>45688</v>
      </c>
      <c r="B271" s="19">
        <f t="shared" si="31"/>
        <v>46052</v>
      </c>
      <c r="C271" s="86">
        <f t="shared" si="33"/>
        <v>0.26</v>
      </c>
      <c r="D271" s="86">
        <f t="shared" si="33"/>
        <v>0.27900000000000003</v>
      </c>
      <c r="E271" s="86">
        <f t="shared" si="33"/>
        <v>6.0999999999999999E-2</v>
      </c>
      <c r="F271" s="86">
        <f t="shared" si="33"/>
        <v>2.5999999999999999E-2</v>
      </c>
      <c r="G271" s="87">
        <v>0.26</v>
      </c>
      <c r="H271" s="87">
        <v>0.27900000000000003</v>
      </c>
      <c r="I271" s="87">
        <v>6.0999999999999999E-2</v>
      </c>
      <c r="J271" s="87">
        <v>2.5999999999999999E-2</v>
      </c>
      <c r="K271" s="25">
        <f>((7/3)*L266)+((5/3)*L278)</f>
        <v>21899</v>
      </c>
      <c r="L271" s="95"/>
      <c r="M271" s="82">
        <f t="shared" si="28"/>
        <v>0.6</v>
      </c>
      <c r="N271" s="82">
        <v>0.26</v>
      </c>
      <c r="O271" s="82">
        <f t="shared" si="29"/>
        <v>0.61</v>
      </c>
      <c r="P271" s="82">
        <v>0.34620000000000001</v>
      </c>
      <c r="Q271" s="82">
        <v>0.69640000000000002</v>
      </c>
      <c r="R271" s="82">
        <v>0.6</v>
      </c>
      <c r="S271" s="82">
        <v>0.61</v>
      </c>
    </row>
    <row r="272" spans="1:19">
      <c r="A272" s="19">
        <f t="shared" si="32"/>
        <v>45716</v>
      </c>
      <c r="B272" s="19">
        <f t="shared" si="31"/>
        <v>46080</v>
      </c>
      <c r="C272" s="86">
        <f t="shared" si="33"/>
        <v>0.26</v>
      </c>
      <c r="D272" s="86">
        <f t="shared" si="33"/>
        <v>0.27900000000000003</v>
      </c>
      <c r="E272" s="86">
        <f t="shared" si="33"/>
        <v>6.0999999999999999E-2</v>
      </c>
      <c r="F272" s="86">
        <f t="shared" si="33"/>
        <v>2.5999999999999999E-2</v>
      </c>
      <c r="G272" s="87">
        <v>0.26</v>
      </c>
      <c r="H272" s="87">
        <v>0.27900000000000003</v>
      </c>
      <c r="I272" s="87">
        <v>6.0999999999999999E-2</v>
      </c>
      <c r="J272" s="87">
        <v>2.5999999999999999E-2</v>
      </c>
      <c r="K272" s="25">
        <f>((6/3)*L266)+((6/3)*L278)</f>
        <v>21989</v>
      </c>
      <c r="L272" s="95"/>
      <c r="M272" s="82">
        <f t="shared" si="28"/>
        <v>0.6</v>
      </c>
      <c r="N272" s="82">
        <v>0.26</v>
      </c>
      <c r="O272" s="82">
        <f t="shared" si="29"/>
        <v>0.61</v>
      </c>
      <c r="P272" s="82">
        <v>0.34620000000000001</v>
      </c>
      <c r="Q272" s="82">
        <v>0.69640000000000002</v>
      </c>
      <c r="R272" s="82">
        <v>0.6</v>
      </c>
      <c r="S272" s="82">
        <v>0.61</v>
      </c>
    </row>
    <row r="273" spans="1:19">
      <c r="A273" s="19">
        <f t="shared" si="32"/>
        <v>45747</v>
      </c>
      <c r="B273" s="19">
        <f t="shared" si="31"/>
        <v>46111</v>
      </c>
      <c r="C273" s="86">
        <f t="shared" si="33"/>
        <v>0.26</v>
      </c>
      <c r="D273" s="86">
        <f t="shared" si="33"/>
        <v>0.27900000000000003</v>
      </c>
      <c r="E273" s="86">
        <f t="shared" si="33"/>
        <v>6.0999999999999999E-2</v>
      </c>
      <c r="F273" s="86">
        <f t="shared" si="33"/>
        <v>2.5999999999999999E-2</v>
      </c>
      <c r="G273" s="87">
        <v>0.26</v>
      </c>
      <c r="H273" s="87">
        <v>0.27900000000000003</v>
      </c>
      <c r="I273" s="87">
        <v>6.0999999999999999E-2</v>
      </c>
      <c r="J273" s="87">
        <v>2.5999999999999999E-2</v>
      </c>
      <c r="K273" s="25">
        <f>((5/3)*L266)+((7/3)*L278)</f>
        <v>22078</v>
      </c>
      <c r="L273" s="95"/>
      <c r="M273" s="82">
        <f t="shared" si="28"/>
        <v>0.6</v>
      </c>
      <c r="N273" s="82">
        <v>0.26</v>
      </c>
      <c r="O273" s="82">
        <f t="shared" si="29"/>
        <v>0.61</v>
      </c>
      <c r="P273" s="82">
        <v>0.34620000000000001</v>
      </c>
      <c r="Q273" s="82">
        <v>0.69640000000000002</v>
      </c>
      <c r="R273" s="82">
        <v>0.6</v>
      </c>
      <c r="S273" s="82">
        <v>0.61</v>
      </c>
    </row>
    <row r="274" spans="1:19">
      <c r="A274" s="19">
        <f t="shared" si="32"/>
        <v>45777</v>
      </c>
      <c r="B274" s="19">
        <f t="shared" si="31"/>
        <v>46141</v>
      </c>
      <c r="C274" s="86">
        <f t="shared" si="33"/>
        <v>0.26</v>
      </c>
      <c r="D274" s="86">
        <f t="shared" si="33"/>
        <v>0.27900000000000003</v>
      </c>
      <c r="E274" s="86">
        <f t="shared" si="33"/>
        <v>6.0999999999999999E-2</v>
      </c>
      <c r="F274" s="86">
        <f t="shared" si="33"/>
        <v>2.5999999999999999E-2</v>
      </c>
      <c r="G274" s="87">
        <v>0.26</v>
      </c>
      <c r="H274" s="87">
        <v>0.27900000000000003</v>
      </c>
      <c r="I274" s="87">
        <v>6.0999999999999999E-2</v>
      </c>
      <c r="J274" s="87">
        <v>2.5999999999999999E-2</v>
      </c>
      <c r="K274" s="25">
        <f>((4/3)*L266)+((8/3)*L278)</f>
        <v>22167</v>
      </c>
      <c r="L274" s="95"/>
      <c r="M274" s="82">
        <f t="shared" si="28"/>
        <v>0.6</v>
      </c>
      <c r="N274" s="82">
        <v>0.26</v>
      </c>
      <c r="O274" s="82">
        <f t="shared" si="29"/>
        <v>0.61</v>
      </c>
      <c r="P274" s="82">
        <v>0.34620000000000001</v>
      </c>
      <c r="Q274" s="82">
        <v>0.69640000000000002</v>
      </c>
      <c r="R274" s="82">
        <v>0.6</v>
      </c>
      <c r="S274" s="82">
        <v>0.61</v>
      </c>
    </row>
    <row r="275" spans="1:19">
      <c r="A275" s="19">
        <f t="shared" si="32"/>
        <v>45808</v>
      </c>
      <c r="B275" s="19">
        <f t="shared" si="31"/>
        <v>46172</v>
      </c>
      <c r="C275" s="86">
        <f t="shared" ref="C275:F290" si="34">AVERAGE(G275:G286)</f>
        <v>0.26</v>
      </c>
      <c r="D275" s="86">
        <f t="shared" si="34"/>
        <v>0.27900000000000003</v>
      </c>
      <c r="E275" s="86">
        <f t="shared" si="34"/>
        <v>6.0999999999999999E-2</v>
      </c>
      <c r="F275" s="86">
        <f t="shared" si="34"/>
        <v>2.5999999999999999E-2</v>
      </c>
      <c r="G275" s="87">
        <v>0.26</v>
      </c>
      <c r="H275" s="87">
        <v>0.27900000000000003</v>
      </c>
      <c r="I275" s="87">
        <v>6.0999999999999999E-2</v>
      </c>
      <c r="J275" s="87">
        <v>2.5999999999999999E-2</v>
      </c>
      <c r="K275" s="25">
        <f>((3/3)*L266)+((9/3)*L278)</f>
        <v>22257</v>
      </c>
      <c r="L275" s="95"/>
      <c r="M275" s="82">
        <f t="shared" si="28"/>
        <v>0.6</v>
      </c>
      <c r="N275" s="82">
        <v>0.26</v>
      </c>
      <c r="O275" s="82">
        <f t="shared" si="29"/>
        <v>0.61</v>
      </c>
      <c r="P275" s="82">
        <v>0.34620000000000001</v>
      </c>
      <c r="Q275" s="82">
        <v>0.69640000000000002</v>
      </c>
      <c r="R275" s="82">
        <v>0.6</v>
      </c>
      <c r="S275" s="82">
        <v>0.61</v>
      </c>
    </row>
    <row r="276" spans="1:19">
      <c r="A276" s="19">
        <f t="shared" si="32"/>
        <v>45838</v>
      </c>
      <c r="B276" s="19">
        <f t="shared" si="31"/>
        <v>46202</v>
      </c>
      <c r="C276" s="86">
        <f t="shared" si="34"/>
        <v>0.26</v>
      </c>
      <c r="D276" s="86">
        <f t="shared" si="34"/>
        <v>0.27900000000000003</v>
      </c>
      <c r="E276" s="86">
        <f t="shared" si="34"/>
        <v>6.0999999999999999E-2</v>
      </c>
      <c r="F276" s="86">
        <f t="shared" si="34"/>
        <v>2.5999999999999999E-2</v>
      </c>
      <c r="G276" s="87">
        <v>0.26</v>
      </c>
      <c r="H276" s="87">
        <v>0.27900000000000003</v>
      </c>
      <c r="I276" s="87">
        <v>6.0999999999999999E-2</v>
      </c>
      <c r="J276" s="87">
        <v>2.5999999999999999E-2</v>
      </c>
      <c r="K276" s="25">
        <f>((2/3)*L266)+((10/3)*L278)</f>
        <v>22346</v>
      </c>
      <c r="L276" s="95"/>
      <c r="M276" s="82">
        <f t="shared" si="28"/>
        <v>0.6</v>
      </c>
      <c r="N276" s="82">
        <v>0.26</v>
      </c>
      <c r="O276" s="82">
        <f t="shared" si="29"/>
        <v>0.61</v>
      </c>
      <c r="P276" s="82">
        <v>0.34620000000000001</v>
      </c>
      <c r="Q276" s="82">
        <v>0.69640000000000002</v>
      </c>
      <c r="R276" s="82">
        <v>0.6</v>
      </c>
      <c r="S276" s="82">
        <v>0.61</v>
      </c>
    </row>
    <row r="277" spans="1:19">
      <c r="A277" s="19">
        <f t="shared" si="32"/>
        <v>45869</v>
      </c>
      <c r="B277" s="19">
        <f t="shared" si="31"/>
        <v>46233</v>
      </c>
      <c r="C277" s="83">
        <f t="shared" si="34"/>
        <v>0.26</v>
      </c>
      <c r="D277" s="83">
        <f t="shared" si="34"/>
        <v>0.27900000000000003</v>
      </c>
      <c r="E277" s="83">
        <f t="shared" si="34"/>
        <v>6.0999999999999999E-2</v>
      </c>
      <c r="F277" s="83">
        <f t="shared" si="34"/>
        <v>2.5999999999999999E-2</v>
      </c>
      <c r="G277" s="87">
        <v>0.26</v>
      </c>
      <c r="H277" s="87">
        <v>0.27900000000000003</v>
      </c>
      <c r="I277" s="87">
        <v>6.0999999999999999E-2</v>
      </c>
      <c r="J277" s="87">
        <v>2.5999999999999999E-2</v>
      </c>
      <c r="K277" s="25">
        <f>((1/3)*L266)+((11/3)*L278)</f>
        <v>22435</v>
      </c>
      <c r="L277" s="95"/>
      <c r="M277" s="82">
        <f t="shared" si="28"/>
        <v>0.6</v>
      </c>
      <c r="N277" s="82">
        <v>0.26</v>
      </c>
      <c r="O277" s="82">
        <f t="shared" si="29"/>
        <v>0.61</v>
      </c>
      <c r="P277" s="82">
        <v>0.34620000000000001</v>
      </c>
      <c r="Q277" s="82">
        <v>0.69640000000000002</v>
      </c>
      <c r="R277" s="82">
        <v>0.6</v>
      </c>
      <c r="S277" s="82">
        <v>0.61</v>
      </c>
    </row>
    <row r="278" spans="1:19" s="80" customFormat="1">
      <c r="A278" s="79">
        <f t="shared" si="32"/>
        <v>45900</v>
      </c>
      <c r="B278" s="79">
        <f t="shared" si="31"/>
        <v>46264</v>
      </c>
      <c r="C278" s="88">
        <f t="shared" si="34"/>
        <v>0.26</v>
      </c>
      <c r="D278" s="88">
        <f t="shared" si="34"/>
        <v>0.27900000000000003</v>
      </c>
      <c r="E278" s="88">
        <f t="shared" si="34"/>
        <v>6.0999999999999999E-2</v>
      </c>
      <c r="F278" s="88">
        <f t="shared" si="34"/>
        <v>2.5999999999999999E-2</v>
      </c>
      <c r="G278" s="89">
        <v>0.26</v>
      </c>
      <c r="H278" s="89">
        <v>0.27900000000000003</v>
      </c>
      <c r="I278" s="89">
        <v>6.0999999999999999E-2</v>
      </c>
      <c r="J278" s="89">
        <v>2.5999999999999999E-2</v>
      </c>
      <c r="K278" s="78">
        <f>(L278*4)</f>
        <v>22525</v>
      </c>
      <c r="L278" s="96">
        <f>L266*1.05</f>
        <v>5631.21</v>
      </c>
      <c r="M278" s="355">
        <f t="shared" si="28"/>
        <v>0.6</v>
      </c>
      <c r="N278" s="355">
        <v>0.26</v>
      </c>
      <c r="O278" s="355">
        <f t="shared" si="29"/>
        <v>0.61</v>
      </c>
      <c r="P278" s="355">
        <v>0.34620000000000001</v>
      </c>
      <c r="Q278" s="355">
        <v>0.69640000000000002</v>
      </c>
      <c r="R278" s="355">
        <v>0.6</v>
      </c>
      <c r="S278" s="355">
        <v>0.61</v>
      </c>
    </row>
    <row r="279" spans="1:19" s="80" customFormat="1">
      <c r="A279" s="79">
        <f t="shared" si="32"/>
        <v>45930</v>
      </c>
      <c r="B279" s="79">
        <f t="shared" si="31"/>
        <v>46294</v>
      </c>
      <c r="C279" s="88">
        <f t="shared" si="34"/>
        <v>0.26</v>
      </c>
      <c r="D279" s="88">
        <f t="shared" si="34"/>
        <v>0.27900000000000003</v>
      </c>
      <c r="E279" s="88">
        <f t="shared" si="34"/>
        <v>6.0999999999999999E-2</v>
      </c>
      <c r="F279" s="88">
        <f t="shared" si="34"/>
        <v>2.5999999999999999E-2</v>
      </c>
      <c r="G279" s="89">
        <v>0.26</v>
      </c>
      <c r="H279" s="89">
        <v>0.27900000000000003</v>
      </c>
      <c r="I279" s="89">
        <v>6.0999999999999999E-2</v>
      </c>
      <c r="J279" s="89">
        <v>2.5999999999999999E-2</v>
      </c>
      <c r="K279" s="78">
        <f>((11/3)*L278)+((1/3)*L290)</f>
        <v>22619</v>
      </c>
      <c r="L279" s="96"/>
      <c r="M279" s="355">
        <f t="shared" si="28"/>
        <v>0.6</v>
      </c>
      <c r="N279" s="355">
        <v>0.26</v>
      </c>
      <c r="O279" s="355">
        <f t="shared" si="29"/>
        <v>0.61</v>
      </c>
      <c r="P279" s="355">
        <v>0.34620000000000001</v>
      </c>
      <c r="Q279" s="355">
        <v>0.69640000000000002</v>
      </c>
      <c r="R279" s="355">
        <v>0.6</v>
      </c>
      <c r="S279" s="355">
        <v>0.61</v>
      </c>
    </row>
    <row r="280" spans="1:19" s="80" customFormat="1">
      <c r="A280" s="79">
        <f t="shared" si="32"/>
        <v>45961</v>
      </c>
      <c r="B280" s="79">
        <f t="shared" si="31"/>
        <v>46325</v>
      </c>
      <c r="C280" s="88">
        <f t="shared" si="34"/>
        <v>0.26</v>
      </c>
      <c r="D280" s="88">
        <f t="shared" si="34"/>
        <v>0.27900000000000003</v>
      </c>
      <c r="E280" s="88">
        <f t="shared" si="34"/>
        <v>6.0999999999999999E-2</v>
      </c>
      <c r="F280" s="88">
        <f t="shared" si="34"/>
        <v>2.5999999999999999E-2</v>
      </c>
      <c r="G280" s="89">
        <v>0.26</v>
      </c>
      <c r="H280" s="89">
        <v>0.27900000000000003</v>
      </c>
      <c r="I280" s="89">
        <v>6.0999999999999999E-2</v>
      </c>
      <c r="J280" s="89">
        <v>2.5999999999999999E-2</v>
      </c>
      <c r="K280" s="78">
        <f>((10/3)*L278)+((2/3)*L290)</f>
        <v>22713</v>
      </c>
      <c r="L280" s="96"/>
      <c r="M280" s="355">
        <f t="shared" si="28"/>
        <v>0.6</v>
      </c>
      <c r="N280" s="355">
        <v>0.26</v>
      </c>
      <c r="O280" s="355">
        <f t="shared" si="29"/>
        <v>0.61</v>
      </c>
      <c r="P280" s="355">
        <v>0.34620000000000001</v>
      </c>
      <c r="Q280" s="355">
        <v>0.69640000000000002</v>
      </c>
      <c r="R280" s="355">
        <v>0.6</v>
      </c>
      <c r="S280" s="355">
        <v>0.61</v>
      </c>
    </row>
    <row r="281" spans="1:19" s="80" customFormat="1">
      <c r="A281" s="79">
        <f t="shared" si="32"/>
        <v>45991</v>
      </c>
      <c r="B281" s="79">
        <f t="shared" si="31"/>
        <v>46355</v>
      </c>
      <c r="C281" s="88">
        <f t="shared" si="34"/>
        <v>0.26</v>
      </c>
      <c r="D281" s="88">
        <f t="shared" si="34"/>
        <v>0.27900000000000003</v>
      </c>
      <c r="E281" s="88">
        <f t="shared" si="34"/>
        <v>6.0999999999999999E-2</v>
      </c>
      <c r="F281" s="88">
        <f t="shared" si="34"/>
        <v>2.5999999999999999E-2</v>
      </c>
      <c r="G281" s="89">
        <v>0.26</v>
      </c>
      <c r="H281" s="89">
        <v>0.27900000000000003</v>
      </c>
      <c r="I281" s="89">
        <v>6.0999999999999999E-2</v>
      </c>
      <c r="J281" s="89">
        <v>2.5999999999999999E-2</v>
      </c>
      <c r="K281" s="78">
        <f>((9/3)*L278)+((3/3)*L290)</f>
        <v>22806</v>
      </c>
      <c r="L281" s="96"/>
      <c r="M281" s="355">
        <f t="shared" si="28"/>
        <v>0.6</v>
      </c>
      <c r="N281" s="355">
        <v>0.26</v>
      </c>
      <c r="O281" s="355">
        <f t="shared" si="29"/>
        <v>0.61</v>
      </c>
      <c r="P281" s="355">
        <v>0.34620000000000001</v>
      </c>
      <c r="Q281" s="355">
        <v>0.69640000000000002</v>
      </c>
      <c r="R281" s="355">
        <v>0.6</v>
      </c>
      <c r="S281" s="355">
        <v>0.61</v>
      </c>
    </row>
    <row r="282" spans="1:19" s="80" customFormat="1">
      <c r="A282" s="79">
        <f t="shared" si="32"/>
        <v>46022</v>
      </c>
      <c r="B282" s="79">
        <f t="shared" si="31"/>
        <v>46386</v>
      </c>
      <c r="C282" s="88">
        <f t="shared" si="34"/>
        <v>0.26</v>
      </c>
      <c r="D282" s="88">
        <f t="shared" si="34"/>
        <v>0.27900000000000003</v>
      </c>
      <c r="E282" s="88">
        <f t="shared" si="34"/>
        <v>6.0999999999999999E-2</v>
      </c>
      <c r="F282" s="88">
        <f t="shared" si="34"/>
        <v>2.5999999999999999E-2</v>
      </c>
      <c r="G282" s="89">
        <v>0.26</v>
      </c>
      <c r="H282" s="89">
        <v>0.27900000000000003</v>
      </c>
      <c r="I282" s="89">
        <v>6.0999999999999999E-2</v>
      </c>
      <c r="J282" s="89">
        <v>2.5999999999999999E-2</v>
      </c>
      <c r="K282" s="78">
        <f>((8/3)*L278)+((4/3)*L290)</f>
        <v>22900</v>
      </c>
      <c r="L282" s="96"/>
      <c r="M282" s="355">
        <f t="shared" si="28"/>
        <v>0.6</v>
      </c>
      <c r="N282" s="355">
        <v>0.26</v>
      </c>
      <c r="O282" s="355">
        <f t="shared" si="29"/>
        <v>0.61</v>
      </c>
      <c r="P282" s="355">
        <v>0.34620000000000001</v>
      </c>
      <c r="Q282" s="355">
        <v>0.69640000000000002</v>
      </c>
      <c r="R282" s="355">
        <v>0.6</v>
      </c>
      <c r="S282" s="355">
        <v>0.61</v>
      </c>
    </row>
    <row r="283" spans="1:19" s="80" customFormat="1">
      <c r="A283" s="79">
        <f t="shared" si="32"/>
        <v>46053</v>
      </c>
      <c r="B283" s="79">
        <f t="shared" si="31"/>
        <v>46417</v>
      </c>
      <c r="C283" s="88">
        <f t="shared" si="34"/>
        <v>0.26</v>
      </c>
      <c r="D283" s="88">
        <f t="shared" si="34"/>
        <v>0.27900000000000003</v>
      </c>
      <c r="E283" s="88">
        <f t="shared" si="34"/>
        <v>6.0999999999999999E-2</v>
      </c>
      <c r="F283" s="88">
        <f t="shared" si="34"/>
        <v>2.5999999999999999E-2</v>
      </c>
      <c r="G283" s="89">
        <v>0.26</v>
      </c>
      <c r="H283" s="89">
        <v>0.27900000000000003</v>
      </c>
      <c r="I283" s="89">
        <v>6.0999999999999999E-2</v>
      </c>
      <c r="J283" s="89">
        <v>2.5999999999999999E-2</v>
      </c>
      <c r="K283" s="78">
        <f>((7/3)*L278)+((5/3)*L290)</f>
        <v>22994</v>
      </c>
      <c r="L283" s="96"/>
      <c r="M283" s="355">
        <f t="shared" si="28"/>
        <v>0.6</v>
      </c>
      <c r="N283" s="355">
        <v>0.26</v>
      </c>
      <c r="O283" s="355">
        <f t="shared" si="29"/>
        <v>0.61</v>
      </c>
      <c r="P283" s="355">
        <v>0.34620000000000001</v>
      </c>
      <c r="Q283" s="355">
        <v>0.69640000000000002</v>
      </c>
      <c r="R283" s="355">
        <v>0.6</v>
      </c>
      <c r="S283" s="355">
        <v>0.61</v>
      </c>
    </row>
    <row r="284" spans="1:19" s="80" customFormat="1">
      <c r="A284" s="79">
        <f t="shared" si="32"/>
        <v>46081</v>
      </c>
      <c r="B284" s="79">
        <f t="shared" si="31"/>
        <v>46445</v>
      </c>
      <c r="C284" s="88">
        <f t="shared" si="34"/>
        <v>0.26</v>
      </c>
      <c r="D284" s="88">
        <f t="shared" si="34"/>
        <v>0.27900000000000003</v>
      </c>
      <c r="E284" s="88">
        <f t="shared" si="34"/>
        <v>6.0999999999999999E-2</v>
      </c>
      <c r="F284" s="88">
        <f t="shared" si="34"/>
        <v>2.5999999999999999E-2</v>
      </c>
      <c r="G284" s="89">
        <v>0.26</v>
      </c>
      <c r="H284" s="89">
        <v>0.27900000000000003</v>
      </c>
      <c r="I284" s="89">
        <v>6.0999999999999999E-2</v>
      </c>
      <c r="J284" s="89">
        <v>2.5999999999999999E-2</v>
      </c>
      <c r="K284" s="78">
        <f>((6/3)*L278)+((6/3)*L290)</f>
        <v>23088</v>
      </c>
      <c r="L284" s="96"/>
      <c r="M284" s="355">
        <f t="shared" si="28"/>
        <v>0.6</v>
      </c>
      <c r="N284" s="355">
        <v>0.26</v>
      </c>
      <c r="O284" s="355">
        <f t="shared" si="29"/>
        <v>0.61</v>
      </c>
      <c r="P284" s="355">
        <v>0.34620000000000001</v>
      </c>
      <c r="Q284" s="355">
        <v>0.69640000000000002</v>
      </c>
      <c r="R284" s="355">
        <v>0.6</v>
      </c>
      <c r="S284" s="355">
        <v>0.61</v>
      </c>
    </row>
    <row r="285" spans="1:19" s="80" customFormat="1">
      <c r="A285" s="79">
        <f t="shared" si="32"/>
        <v>46112</v>
      </c>
      <c r="B285" s="79">
        <f t="shared" si="31"/>
        <v>46476</v>
      </c>
      <c r="C285" s="88">
        <f t="shared" si="34"/>
        <v>0.26</v>
      </c>
      <c r="D285" s="88">
        <f t="shared" si="34"/>
        <v>0.27900000000000003</v>
      </c>
      <c r="E285" s="88">
        <f t="shared" si="34"/>
        <v>6.0999999999999999E-2</v>
      </c>
      <c r="F285" s="88">
        <f t="shared" si="34"/>
        <v>2.5999999999999999E-2</v>
      </c>
      <c r="G285" s="89">
        <v>0.26</v>
      </c>
      <c r="H285" s="89">
        <v>0.27900000000000003</v>
      </c>
      <c r="I285" s="89">
        <v>6.0999999999999999E-2</v>
      </c>
      <c r="J285" s="89">
        <v>2.5999999999999999E-2</v>
      </c>
      <c r="K285" s="78">
        <f>((5/3)*L278)+((7/3)*L290)</f>
        <v>23182</v>
      </c>
      <c r="L285" s="96"/>
      <c r="M285" s="355">
        <f t="shared" si="28"/>
        <v>0.6</v>
      </c>
      <c r="N285" s="355">
        <v>0.26</v>
      </c>
      <c r="O285" s="355">
        <f t="shared" si="29"/>
        <v>0.61</v>
      </c>
      <c r="P285" s="355">
        <v>0.34620000000000001</v>
      </c>
      <c r="Q285" s="355">
        <v>0.69640000000000002</v>
      </c>
      <c r="R285" s="355">
        <v>0.6</v>
      </c>
      <c r="S285" s="355">
        <v>0.61</v>
      </c>
    </row>
    <row r="286" spans="1:19" s="80" customFormat="1">
      <c r="A286" s="79">
        <f t="shared" si="32"/>
        <v>46142</v>
      </c>
      <c r="B286" s="79">
        <f t="shared" si="31"/>
        <v>46506</v>
      </c>
      <c r="C286" s="88">
        <f t="shared" si="34"/>
        <v>0.26</v>
      </c>
      <c r="D286" s="88">
        <f t="shared" si="34"/>
        <v>0.27900000000000003</v>
      </c>
      <c r="E286" s="88">
        <f t="shared" si="34"/>
        <v>6.0999999999999999E-2</v>
      </c>
      <c r="F286" s="88">
        <f t="shared" si="34"/>
        <v>2.5999999999999999E-2</v>
      </c>
      <c r="G286" s="89">
        <v>0.26</v>
      </c>
      <c r="H286" s="89">
        <v>0.27900000000000003</v>
      </c>
      <c r="I286" s="89">
        <v>6.0999999999999999E-2</v>
      </c>
      <c r="J286" s="89">
        <v>2.5999999999999999E-2</v>
      </c>
      <c r="K286" s="78">
        <f>((4/3)*L278)+((8/3)*L290)</f>
        <v>23276</v>
      </c>
      <c r="L286" s="96"/>
      <c r="M286" s="355">
        <f t="shared" si="28"/>
        <v>0.6</v>
      </c>
      <c r="N286" s="355">
        <v>0.26</v>
      </c>
      <c r="O286" s="355">
        <f t="shared" si="29"/>
        <v>0.61</v>
      </c>
      <c r="P286" s="355">
        <v>0.34620000000000001</v>
      </c>
      <c r="Q286" s="355">
        <v>0.69640000000000002</v>
      </c>
      <c r="R286" s="355">
        <v>0.6</v>
      </c>
      <c r="S286" s="355">
        <v>0.61</v>
      </c>
    </row>
    <row r="287" spans="1:19" s="80" customFormat="1">
      <c r="A287" s="79">
        <f t="shared" si="32"/>
        <v>46173</v>
      </c>
      <c r="B287" s="79">
        <f t="shared" si="31"/>
        <v>46537</v>
      </c>
      <c r="C287" s="88">
        <f t="shared" si="34"/>
        <v>0.26</v>
      </c>
      <c r="D287" s="88">
        <f t="shared" si="34"/>
        <v>0.27900000000000003</v>
      </c>
      <c r="E287" s="88">
        <f t="shared" si="34"/>
        <v>6.0999999999999999E-2</v>
      </c>
      <c r="F287" s="88">
        <f t="shared" si="34"/>
        <v>2.5999999999999999E-2</v>
      </c>
      <c r="G287" s="89">
        <v>0.26</v>
      </c>
      <c r="H287" s="89">
        <v>0.27900000000000003</v>
      </c>
      <c r="I287" s="89">
        <v>6.0999999999999999E-2</v>
      </c>
      <c r="J287" s="89">
        <v>2.5999999999999999E-2</v>
      </c>
      <c r="K287" s="78">
        <f>((3/3)*L278)+((9/3)*L290)</f>
        <v>23370</v>
      </c>
      <c r="L287" s="96"/>
      <c r="M287" s="355">
        <f t="shared" si="28"/>
        <v>0.6</v>
      </c>
      <c r="N287" s="355">
        <v>0.26</v>
      </c>
      <c r="O287" s="355">
        <f t="shared" si="29"/>
        <v>0.61</v>
      </c>
      <c r="P287" s="355">
        <v>0.34620000000000001</v>
      </c>
      <c r="Q287" s="355">
        <v>0.69640000000000002</v>
      </c>
      <c r="R287" s="355">
        <v>0.6</v>
      </c>
      <c r="S287" s="355">
        <v>0.61</v>
      </c>
    </row>
    <row r="288" spans="1:19" s="80" customFormat="1">
      <c r="A288" s="79">
        <f t="shared" si="32"/>
        <v>46203</v>
      </c>
      <c r="B288" s="79">
        <f t="shared" si="31"/>
        <v>46567</v>
      </c>
      <c r="C288" s="88">
        <f t="shared" si="34"/>
        <v>0.26</v>
      </c>
      <c r="D288" s="88">
        <f t="shared" si="34"/>
        <v>0.27900000000000003</v>
      </c>
      <c r="E288" s="88">
        <f t="shared" si="34"/>
        <v>6.0999999999999999E-2</v>
      </c>
      <c r="F288" s="88">
        <f t="shared" si="34"/>
        <v>2.5999999999999999E-2</v>
      </c>
      <c r="G288" s="89">
        <v>0.26</v>
      </c>
      <c r="H288" s="89">
        <v>0.27900000000000003</v>
      </c>
      <c r="I288" s="89">
        <v>6.0999999999999999E-2</v>
      </c>
      <c r="J288" s="89">
        <v>2.5999999999999999E-2</v>
      </c>
      <c r="K288" s="78">
        <f>((2/3)*L278)+((10/3)*L290)</f>
        <v>23463</v>
      </c>
      <c r="L288" s="96"/>
      <c r="M288" s="355">
        <f t="shared" si="28"/>
        <v>0.6</v>
      </c>
      <c r="N288" s="355">
        <v>0.26</v>
      </c>
      <c r="O288" s="355">
        <f t="shared" si="29"/>
        <v>0.61</v>
      </c>
      <c r="P288" s="355">
        <v>0.34620000000000001</v>
      </c>
      <c r="Q288" s="355">
        <v>0.69640000000000002</v>
      </c>
      <c r="R288" s="355">
        <v>0.6</v>
      </c>
      <c r="S288" s="355">
        <v>0.61</v>
      </c>
    </row>
    <row r="289" spans="1:19" s="80" customFormat="1">
      <c r="A289" s="79">
        <f t="shared" si="32"/>
        <v>46234</v>
      </c>
      <c r="B289" s="79">
        <f t="shared" si="31"/>
        <v>46598</v>
      </c>
      <c r="C289" s="88">
        <f t="shared" si="34"/>
        <v>0.26</v>
      </c>
      <c r="D289" s="88">
        <f t="shared" si="34"/>
        <v>0.27900000000000003</v>
      </c>
      <c r="E289" s="88">
        <f t="shared" si="34"/>
        <v>6.0999999999999999E-2</v>
      </c>
      <c r="F289" s="88">
        <f t="shared" si="34"/>
        <v>2.5999999999999999E-2</v>
      </c>
      <c r="G289" s="89">
        <v>0.26</v>
      </c>
      <c r="H289" s="89">
        <v>0.27900000000000003</v>
      </c>
      <c r="I289" s="89">
        <v>6.0999999999999999E-2</v>
      </c>
      <c r="J289" s="89">
        <v>2.5999999999999999E-2</v>
      </c>
      <c r="K289" s="78">
        <f>((1/3)*L278)+((11/3)*L290)</f>
        <v>23557</v>
      </c>
      <c r="L289" s="96"/>
      <c r="M289" s="355">
        <f t="shared" si="28"/>
        <v>0.6</v>
      </c>
      <c r="N289" s="355">
        <v>0.26</v>
      </c>
      <c r="O289" s="355">
        <f t="shared" si="29"/>
        <v>0.61</v>
      </c>
      <c r="P289" s="355">
        <v>0.34620000000000001</v>
      </c>
      <c r="Q289" s="355">
        <v>0.69640000000000002</v>
      </c>
      <c r="R289" s="355">
        <v>0.6</v>
      </c>
      <c r="S289" s="355">
        <v>0.61</v>
      </c>
    </row>
    <row r="290" spans="1:19">
      <c r="A290" s="19">
        <f t="shared" si="32"/>
        <v>46265</v>
      </c>
      <c r="B290" s="19">
        <f t="shared" si="31"/>
        <v>46629</v>
      </c>
      <c r="C290" s="86">
        <f t="shared" si="34"/>
        <v>0.26</v>
      </c>
      <c r="D290" s="86">
        <f t="shared" si="34"/>
        <v>0.27900000000000003</v>
      </c>
      <c r="E290" s="86">
        <f t="shared" si="34"/>
        <v>6.0999999999999999E-2</v>
      </c>
      <c r="F290" s="86">
        <f t="shared" si="34"/>
        <v>2.5999999999999999E-2</v>
      </c>
      <c r="G290" s="87">
        <v>0.26</v>
      </c>
      <c r="H290" s="87">
        <v>0.27900000000000003</v>
      </c>
      <c r="I290" s="87">
        <v>6.0999999999999999E-2</v>
      </c>
      <c r="J290" s="87">
        <v>2.5999999999999999E-2</v>
      </c>
      <c r="K290" s="25">
        <f>(L290*4)</f>
        <v>23651</v>
      </c>
      <c r="L290" s="95">
        <f>L278*1.05</f>
        <v>5912.77</v>
      </c>
      <c r="M290" s="82">
        <f t="shared" si="28"/>
        <v>0.6</v>
      </c>
      <c r="N290" s="82">
        <v>0.26</v>
      </c>
      <c r="O290" s="82">
        <f t="shared" si="29"/>
        <v>0.61</v>
      </c>
      <c r="P290" s="82">
        <v>0.34620000000000001</v>
      </c>
      <c r="Q290" s="82">
        <v>0.69640000000000002</v>
      </c>
      <c r="R290" s="82">
        <v>0.6</v>
      </c>
      <c r="S290" s="82">
        <v>0.61</v>
      </c>
    </row>
    <row r="291" spans="1:19">
      <c r="A291" s="19">
        <f t="shared" si="32"/>
        <v>46295</v>
      </c>
      <c r="B291" s="19">
        <f t="shared" si="31"/>
        <v>46659</v>
      </c>
      <c r="C291" s="86">
        <f t="shared" ref="C291:F306" si="35">AVERAGE(G291:G302)</f>
        <v>0.26</v>
      </c>
      <c r="D291" s="86">
        <f t="shared" si="35"/>
        <v>0.27900000000000003</v>
      </c>
      <c r="E291" s="86">
        <f t="shared" si="35"/>
        <v>6.0999999999999999E-2</v>
      </c>
      <c r="F291" s="86">
        <f t="shared" si="35"/>
        <v>2.5999999999999999E-2</v>
      </c>
      <c r="G291" s="87">
        <v>0.26</v>
      </c>
      <c r="H291" s="87">
        <v>0.27900000000000003</v>
      </c>
      <c r="I291" s="87">
        <v>6.0999999999999999E-2</v>
      </c>
      <c r="J291" s="87">
        <v>2.5999999999999999E-2</v>
      </c>
      <c r="K291" s="25">
        <f>((11/3)*L290)+((1/3)*L302)</f>
        <v>23750</v>
      </c>
      <c r="L291" s="95"/>
      <c r="M291" s="82">
        <f t="shared" si="28"/>
        <v>0.6</v>
      </c>
      <c r="N291" s="82">
        <v>0.26</v>
      </c>
      <c r="O291" s="82">
        <f t="shared" si="29"/>
        <v>0.61</v>
      </c>
      <c r="P291" s="82">
        <v>0.34620000000000001</v>
      </c>
      <c r="Q291" s="82">
        <v>0.69640000000000002</v>
      </c>
      <c r="R291" s="82">
        <v>0.6</v>
      </c>
      <c r="S291" s="82">
        <v>0.61</v>
      </c>
    </row>
    <row r="292" spans="1:19">
      <c r="A292" s="19">
        <f t="shared" si="32"/>
        <v>46326</v>
      </c>
      <c r="B292" s="19">
        <f t="shared" si="31"/>
        <v>46690</v>
      </c>
      <c r="C292" s="86">
        <f t="shared" si="35"/>
        <v>0.26</v>
      </c>
      <c r="D292" s="86">
        <f t="shared" si="35"/>
        <v>0.27900000000000003</v>
      </c>
      <c r="E292" s="86">
        <f t="shared" si="35"/>
        <v>6.0999999999999999E-2</v>
      </c>
      <c r="F292" s="86">
        <f t="shared" si="35"/>
        <v>2.5999999999999999E-2</v>
      </c>
      <c r="G292" s="87">
        <v>0.26</v>
      </c>
      <c r="H292" s="87">
        <v>0.27900000000000003</v>
      </c>
      <c r="I292" s="87">
        <v>6.0999999999999999E-2</v>
      </c>
      <c r="J292" s="87">
        <v>2.5999999999999999E-2</v>
      </c>
      <c r="K292" s="25">
        <f>((10/3)*L290)+((2/3)*L302)</f>
        <v>23848</v>
      </c>
      <c r="L292" s="95"/>
      <c r="M292" s="82">
        <f t="shared" si="28"/>
        <v>0.6</v>
      </c>
      <c r="N292" s="82">
        <v>0.26</v>
      </c>
      <c r="O292" s="82">
        <f t="shared" si="29"/>
        <v>0.61</v>
      </c>
      <c r="P292" s="82">
        <v>0.34620000000000001</v>
      </c>
      <c r="Q292" s="82">
        <v>0.69640000000000002</v>
      </c>
      <c r="R292" s="82">
        <v>0.6</v>
      </c>
      <c r="S292" s="82">
        <v>0.61</v>
      </c>
    </row>
    <row r="293" spans="1:19">
      <c r="A293" s="19">
        <f t="shared" si="32"/>
        <v>46356</v>
      </c>
      <c r="B293" s="19">
        <f t="shared" si="31"/>
        <v>46720</v>
      </c>
      <c r="C293" s="86">
        <f t="shared" si="35"/>
        <v>0.26</v>
      </c>
      <c r="D293" s="86">
        <f t="shared" si="35"/>
        <v>0.27900000000000003</v>
      </c>
      <c r="E293" s="86">
        <f t="shared" si="35"/>
        <v>6.0999999999999999E-2</v>
      </c>
      <c r="F293" s="86">
        <f t="shared" si="35"/>
        <v>2.5999999999999999E-2</v>
      </c>
      <c r="G293" s="87">
        <v>0.26</v>
      </c>
      <c r="H293" s="87">
        <v>0.27900000000000003</v>
      </c>
      <c r="I293" s="87">
        <v>6.0999999999999999E-2</v>
      </c>
      <c r="J293" s="87">
        <v>2.5999999999999999E-2</v>
      </c>
      <c r="K293" s="25">
        <f>((9/3)*L290)+((3/3)*L302)</f>
        <v>23947</v>
      </c>
      <c r="L293" s="95"/>
      <c r="M293" s="82">
        <f t="shared" si="28"/>
        <v>0.6</v>
      </c>
      <c r="N293" s="82">
        <v>0.26</v>
      </c>
      <c r="O293" s="82">
        <f t="shared" si="29"/>
        <v>0.61</v>
      </c>
      <c r="P293" s="82">
        <v>0.34620000000000001</v>
      </c>
      <c r="Q293" s="82">
        <v>0.69640000000000002</v>
      </c>
      <c r="R293" s="82">
        <v>0.6</v>
      </c>
      <c r="S293" s="82">
        <v>0.61</v>
      </c>
    </row>
    <row r="294" spans="1:19">
      <c r="A294" s="19">
        <f t="shared" si="32"/>
        <v>46387</v>
      </c>
      <c r="B294" s="19">
        <f t="shared" si="31"/>
        <v>46751</v>
      </c>
      <c r="C294" s="86">
        <f t="shared" si="35"/>
        <v>0.26</v>
      </c>
      <c r="D294" s="86">
        <f t="shared" si="35"/>
        <v>0.27900000000000003</v>
      </c>
      <c r="E294" s="86">
        <f t="shared" si="35"/>
        <v>6.0999999999999999E-2</v>
      </c>
      <c r="F294" s="86">
        <f t="shared" si="35"/>
        <v>2.5999999999999999E-2</v>
      </c>
      <c r="G294" s="87">
        <v>0.26</v>
      </c>
      <c r="H294" s="87">
        <v>0.27900000000000003</v>
      </c>
      <c r="I294" s="87">
        <v>6.0999999999999999E-2</v>
      </c>
      <c r="J294" s="87">
        <v>2.5999999999999999E-2</v>
      </c>
      <c r="K294" s="25">
        <f>((8/3)*L290)+((4/3)*L302)</f>
        <v>24045</v>
      </c>
      <c r="L294" s="95"/>
      <c r="M294" s="82">
        <f t="shared" si="28"/>
        <v>0.6</v>
      </c>
      <c r="N294" s="82">
        <v>0.26</v>
      </c>
      <c r="O294" s="82">
        <f t="shared" si="29"/>
        <v>0.61</v>
      </c>
      <c r="P294" s="82">
        <v>0.34620000000000001</v>
      </c>
      <c r="Q294" s="82">
        <v>0.69640000000000002</v>
      </c>
      <c r="R294" s="82">
        <v>0.6</v>
      </c>
      <c r="S294" s="82">
        <v>0.61</v>
      </c>
    </row>
    <row r="295" spans="1:19">
      <c r="A295" s="19">
        <f t="shared" si="32"/>
        <v>46418</v>
      </c>
      <c r="B295" s="19">
        <f t="shared" si="31"/>
        <v>46782</v>
      </c>
      <c r="C295" s="86">
        <f t="shared" si="35"/>
        <v>0.26</v>
      </c>
      <c r="D295" s="86">
        <f t="shared" si="35"/>
        <v>0.27900000000000003</v>
      </c>
      <c r="E295" s="86">
        <f t="shared" si="35"/>
        <v>6.0999999999999999E-2</v>
      </c>
      <c r="F295" s="86">
        <f t="shared" si="35"/>
        <v>2.5999999999999999E-2</v>
      </c>
      <c r="G295" s="87">
        <v>0.26</v>
      </c>
      <c r="H295" s="87">
        <v>0.27900000000000003</v>
      </c>
      <c r="I295" s="87">
        <v>6.0999999999999999E-2</v>
      </c>
      <c r="J295" s="87">
        <v>2.5999999999999999E-2</v>
      </c>
      <c r="K295" s="25">
        <f>((7/3)*L290)+((5/3)*L302)</f>
        <v>24144</v>
      </c>
      <c r="L295" s="95"/>
      <c r="M295" s="82">
        <f t="shared" si="28"/>
        <v>0.6</v>
      </c>
      <c r="N295" s="82">
        <v>0.26</v>
      </c>
      <c r="O295" s="82">
        <f t="shared" si="29"/>
        <v>0.61</v>
      </c>
      <c r="P295" s="82">
        <v>0.34620000000000001</v>
      </c>
      <c r="Q295" s="82">
        <v>0.69640000000000002</v>
      </c>
      <c r="R295" s="82">
        <v>0.6</v>
      </c>
      <c r="S295" s="82">
        <v>0.61</v>
      </c>
    </row>
    <row r="296" spans="1:19">
      <c r="A296" s="19">
        <f t="shared" si="32"/>
        <v>46446</v>
      </c>
      <c r="B296" s="19">
        <f t="shared" si="31"/>
        <v>46811</v>
      </c>
      <c r="C296" s="86">
        <f t="shared" si="35"/>
        <v>0.26</v>
      </c>
      <c r="D296" s="86">
        <f t="shared" si="35"/>
        <v>0.27900000000000003</v>
      </c>
      <c r="E296" s="86">
        <f t="shared" si="35"/>
        <v>6.0999999999999999E-2</v>
      </c>
      <c r="F296" s="86">
        <f t="shared" si="35"/>
        <v>2.5999999999999999E-2</v>
      </c>
      <c r="G296" s="87">
        <v>0.26</v>
      </c>
      <c r="H296" s="87">
        <v>0.27900000000000003</v>
      </c>
      <c r="I296" s="87">
        <v>6.0999999999999999E-2</v>
      </c>
      <c r="J296" s="87">
        <v>2.5999999999999999E-2</v>
      </c>
      <c r="K296" s="25">
        <f>((6/3)*L290)+((6/3)*L302)</f>
        <v>24242</v>
      </c>
      <c r="L296" s="95"/>
      <c r="M296" s="82">
        <f t="shared" si="28"/>
        <v>0.6</v>
      </c>
      <c r="N296" s="82">
        <v>0.26</v>
      </c>
      <c r="O296" s="82">
        <f t="shared" si="29"/>
        <v>0.61</v>
      </c>
      <c r="P296" s="82">
        <v>0.34620000000000001</v>
      </c>
      <c r="Q296" s="82">
        <v>0.69640000000000002</v>
      </c>
      <c r="R296" s="82">
        <v>0.6</v>
      </c>
      <c r="S296" s="82">
        <v>0.61</v>
      </c>
    </row>
    <row r="297" spans="1:19">
      <c r="A297" s="19">
        <f t="shared" si="32"/>
        <v>46477</v>
      </c>
      <c r="B297" s="19">
        <f t="shared" si="31"/>
        <v>46842</v>
      </c>
      <c r="C297" s="86">
        <f t="shared" si="35"/>
        <v>0.26</v>
      </c>
      <c r="D297" s="86">
        <f t="shared" si="35"/>
        <v>0.27900000000000003</v>
      </c>
      <c r="E297" s="86">
        <f t="shared" si="35"/>
        <v>6.0999999999999999E-2</v>
      </c>
      <c r="F297" s="86">
        <f t="shared" si="35"/>
        <v>2.5999999999999999E-2</v>
      </c>
      <c r="G297" s="87">
        <v>0.26</v>
      </c>
      <c r="H297" s="87">
        <v>0.27900000000000003</v>
      </c>
      <c r="I297" s="87">
        <v>6.0999999999999999E-2</v>
      </c>
      <c r="J297" s="87">
        <v>2.5999999999999999E-2</v>
      </c>
      <c r="K297" s="25">
        <f>((5/3)*L290)+((7/3)*L302)</f>
        <v>24341</v>
      </c>
      <c r="L297" s="95"/>
      <c r="M297" s="82">
        <f t="shared" si="28"/>
        <v>0.6</v>
      </c>
      <c r="N297" s="82">
        <v>0.26</v>
      </c>
      <c r="O297" s="82">
        <f t="shared" si="29"/>
        <v>0.61</v>
      </c>
      <c r="P297" s="82">
        <v>0.34620000000000001</v>
      </c>
      <c r="Q297" s="82">
        <v>0.69640000000000002</v>
      </c>
      <c r="R297" s="82">
        <v>0.6</v>
      </c>
      <c r="S297" s="82">
        <v>0.61</v>
      </c>
    </row>
    <row r="298" spans="1:19">
      <c r="A298" s="19">
        <f t="shared" si="32"/>
        <v>46507</v>
      </c>
      <c r="B298" s="19">
        <f t="shared" si="31"/>
        <v>46872</v>
      </c>
      <c r="C298" s="86">
        <f t="shared" si="35"/>
        <v>0.26</v>
      </c>
      <c r="D298" s="86">
        <f t="shared" si="35"/>
        <v>0.27900000000000003</v>
      </c>
      <c r="E298" s="86">
        <f t="shared" si="35"/>
        <v>6.0999999999999999E-2</v>
      </c>
      <c r="F298" s="86">
        <f t="shared" si="35"/>
        <v>2.5999999999999999E-2</v>
      </c>
      <c r="G298" s="87">
        <v>0.26</v>
      </c>
      <c r="H298" s="87">
        <v>0.27900000000000003</v>
      </c>
      <c r="I298" s="87">
        <v>6.0999999999999999E-2</v>
      </c>
      <c r="J298" s="87">
        <v>2.5999999999999999E-2</v>
      </c>
      <c r="K298" s="25">
        <f>((4/3)*L290)+((8/3)*L302)</f>
        <v>24439</v>
      </c>
      <c r="L298" s="95"/>
      <c r="M298" s="82">
        <f t="shared" si="28"/>
        <v>0.6</v>
      </c>
      <c r="N298" s="82">
        <v>0.26</v>
      </c>
      <c r="O298" s="82">
        <f t="shared" si="29"/>
        <v>0.61</v>
      </c>
      <c r="P298" s="82">
        <v>0.34620000000000001</v>
      </c>
      <c r="Q298" s="82">
        <v>0.69640000000000002</v>
      </c>
      <c r="R298" s="82">
        <v>0.6</v>
      </c>
      <c r="S298" s="82">
        <v>0.61</v>
      </c>
    </row>
    <row r="299" spans="1:19">
      <c r="A299" s="19">
        <f t="shared" si="32"/>
        <v>46538</v>
      </c>
      <c r="B299" s="19">
        <f t="shared" si="31"/>
        <v>46903</v>
      </c>
      <c r="C299" s="86">
        <f t="shared" si="35"/>
        <v>0.26</v>
      </c>
      <c r="D299" s="86">
        <f t="shared" si="35"/>
        <v>0.27900000000000003</v>
      </c>
      <c r="E299" s="86">
        <f t="shared" si="35"/>
        <v>6.0999999999999999E-2</v>
      </c>
      <c r="F299" s="86">
        <f t="shared" si="35"/>
        <v>2.5999999999999999E-2</v>
      </c>
      <c r="G299" s="87">
        <v>0.26</v>
      </c>
      <c r="H299" s="87">
        <v>0.27900000000000003</v>
      </c>
      <c r="I299" s="87">
        <v>6.0999999999999999E-2</v>
      </c>
      <c r="J299" s="87">
        <v>2.5999999999999999E-2</v>
      </c>
      <c r="K299" s="25">
        <f>((3/3)*L290)+((9/3)*L302)</f>
        <v>24538</v>
      </c>
      <c r="L299" s="95"/>
      <c r="M299" s="82">
        <f t="shared" si="28"/>
        <v>0.6</v>
      </c>
      <c r="N299" s="82">
        <v>0.26</v>
      </c>
      <c r="O299" s="82">
        <f t="shared" si="29"/>
        <v>0.61</v>
      </c>
      <c r="P299" s="82">
        <v>0.34620000000000001</v>
      </c>
      <c r="Q299" s="82">
        <v>0.69640000000000002</v>
      </c>
      <c r="R299" s="82">
        <v>0.6</v>
      </c>
      <c r="S299" s="82">
        <v>0.61</v>
      </c>
    </row>
    <row r="300" spans="1:19">
      <c r="A300" s="19">
        <f t="shared" si="32"/>
        <v>46568</v>
      </c>
      <c r="B300" s="19">
        <f t="shared" si="31"/>
        <v>46933</v>
      </c>
      <c r="C300" s="86">
        <f t="shared" si="35"/>
        <v>0.26</v>
      </c>
      <c r="D300" s="86">
        <f t="shared" si="35"/>
        <v>0.27900000000000003</v>
      </c>
      <c r="E300" s="86">
        <f t="shared" si="35"/>
        <v>6.0999999999999999E-2</v>
      </c>
      <c r="F300" s="86">
        <f t="shared" si="35"/>
        <v>2.5999999999999999E-2</v>
      </c>
      <c r="G300" s="87">
        <v>0.26</v>
      </c>
      <c r="H300" s="87">
        <v>0.27900000000000003</v>
      </c>
      <c r="I300" s="87">
        <v>6.0999999999999999E-2</v>
      </c>
      <c r="J300" s="87">
        <v>2.5999999999999999E-2</v>
      </c>
      <c r="K300" s="25">
        <f>((2/3)*L290)+((10/3)*L302)</f>
        <v>24637</v>
      </c>
      <c r="L300" s="95"/>
      <c r="M300" s="82">
        <f t="shared" si="28"/>
        <v>0.6</v>
      </c>
      <c r="N300" s="82">
        <v>0.26</v>
      </c>
      <c r="O300" s="82">
        <f t="shared" si="29"/>
        <v>0.61</v>
      </c>
      <c r="P300" s="82">
        <v>0.34620000000000001</v>
      </c>
      <c r="Q300" s="82">
        <v>0.69640000000000002</v>
      </c>
      <c r="R300" s="82">
        <v>0.6</v>
      </c>
      <c r="S300" s="82">
        <v>0.61</v>
      </c>
    </row>
    <row r="301" spans="1:19">
      <c r="A301" s="19">
        <f t="shared" si="32"/>
        <v>46599</v>
      </c>
      <c r="B301" s="19">
        <f t="shared" si="31"/>
        <v>46964</v>
      </c>
      <c r="C301" s="83">
        <f t="shared" si="35"/>
        <v>0.26</v>
      </c>
      <c r="D301" s="83">
        <f t="shared" si="35"/>
        <v>0.27900000000000003</v>
      </c>
      <c r="E301" s="83">
        <f t="shared" si="35"/>
        <v>6.0999999999999999E-2</v>
      </c>
      <c r="F301" s="83">
        <f t="shared" si="35"/>
        <v>2.5999999999999999E-2</v>
      </c>
      <c r="G301" s="87">
        <v>0.26</v>
      </c>
      <c r="H301" s="87">
        <v>0.27900000000000003</v>
      </c>
      <c r="I301" s="87">
        <v>6.0999999999999999E-2</v>
      </c>
      <c r="J301" s="87">
        <v>2.5999999999999999E-2</v>
      </c>
      <c r="K301" s="25">
        <f>((1/3)*L290)+((11/3)*L302)</f>
        <v>24735</v>
      </c>
      <c r="L301" s="95"/>
      <c r="M301" s="82">
        <f t="shared" si="28"/>
        <v>0.6</v>
      </c>
      <c r="N301" s="82">
        <v>0.26</v>
      </c>
      <c r="O301" s="82">
        <f t="shared" si="29"/>
        <v>0.61</v>
      </c>
      <c r="P301" s="82">
        <v>0.34620000000000001</v>
      </c>
      <c r="Q301" s="82">
        <v>0.69640000000000002</v>
      </c>
      <c r="R301" s="82">
        <v>0.6</v>
      </c>
      <c r="S301" s="82">
        <v>0.61</v>
      </c>
    </row>
    <row r="302" spans="1:19" s="80" customFormat="1">
      <c r="A302" s="79">
        <f t="shared" si="32"/>
        <v>46630</v>
      </c>
      <c r="B302" s="79">
        <f t="shared" si="31"/>
        <v>46995</v>
      </c>
      <c r="C302" s="88">
        <f t="shared" si="35"/>
        <v>0.26</v>
      </c>
      <c r="D302" s="88">
        <f t="shared" si="35"/>
        <v>0.27900000000000003</v>
      </c>
      <c r="E302" s="88">
        <f t="shared" si="35"/>
        <v>6.0999999999999999E-2</v>
      </c>
      <c r="F302" s="88">
        <f t="shared" si="35"/>
        <v>2.5999999999999999E-2</v>
      </c>
      <c r="G302" s="89">
        <v>0.26</v>
      </c>
      <c r="H302" s="89">
        <v>0.27900000000000003</v>
      </c>
      <c r="I302" s="89">
        <v>6.0999999999999999E-2</v>
      </c>
      <c r="J302" s="89">
        <v>2.5999999999999999E-2</v>
      </c>
      <c r="K302" s="78">
        <f>(L302*4)</f>
        <v>24834</v>
      </c>
      <c r="L302" s="96">
        <f>L290*1.05</f>
        <v>6208.41</v>
      </c>
      <c r="M302" s="355">
        <f t="shared" si="28"/>
        <v>0.6</v>
      </c>
      <c r="N302" s="355">
        <v>0.26</v>
      </c>
      <c r="O302" s="355">
        <f t="shared" si="29"/>
        <v>0.61</v>
      </c>
      <c r="P302" s="355">
        <v>0.34620000000000001</v>
      </c>
      <c r="Q302" s="355">
        <v>0.69640000000000002</v>
      </c>
      <c r="R302" s="355">
        <v>0.6</v>
      </c>
      <c r="S302" s="355">
        <v>0.61</v>
      </c>
    </row>
    <row r="303" spans="1:19" s="80" customFormat="1">
      <c r="A303" s="79">
        <f t="shared" si="32"/>
        <v>46660</v>
      </c>
      <c r="B303" s="79">
        <f t="shared" si="31"/>
        <v>47025</v>
      </c>
      <c r="C303" s="88">
        <f t="shared" si="35"/>
        <v>0.26</v>
      </c>
      <c r="D303" s="88">
        <f t="shared" si="35"/>
        <v>0.27900000000000003</v>
      </c>
      <c r="E303" s="88">
        <f t="shared" si="35"/>
        <v>6.0999999999999999E-2</v>
      </c>
      <c r="F303" s="88">
        <f t="shared" si="35"/>
        <v>2.5999999999999999E-2</v>
      </c>
      <c r="G303" s="89">
        <v>0.26</v>
      </c>
      <c r="H303" s="89">
        <v>0.27900000000000003</v>
      </c>
      <c r="I303" s="89">
        <v>6.0999999999999999E-2</v>
      </c>
      <c r="J303" s="89">
        <v>2.5999999999999999E-2</v>
      </c>
      <c r="K303" s="78">
        <f>((11/3)*L302)+((1/3)*L314)</f>
        <v>24937</v>
      </c>
      <c r="L303" s="96"/>
      <c r="M303" s="355">
        <f t="shared" ref="M303:M366" si="36">AVERAGE(R303:R314)</f>
        <v>0.6</v>
      </c>
      <c r="N303" s="355">
        <v>0.26</v>
      </c>
      <c r="O303" s="355">
        <f t="shared" ref="O303:O366" si="37">AVERAGE(S303:S314)</f>
        <v>0.61</v>
      </c>
      <c r="P303" s="355">
        <v>0.34620000000000001</v>
      </c>
      <c r="Q303" s="355">
        <v>0.69640000000000002</v>
      </c>
      <c r="R303" s="355">
        <v>0.6</v>
      </c>
      <c r="S303" s="355">
        <v>0.61</v>
      </c>
    </row>
    <row r="304" spans="1:19" s="80" customFormat="1">
      <c r="A304" s="79">
        <f t="shared" si="32"/>
        <v>46691</v>
      </c>
      <c r="B304" s="79">
        <f t="shared" si="31"/>
        <v>47056</v>
      </c>
      <c r="C304" s="88">
        <f t="shared" si="35"/>
        <v>0.26</v>
      </c>
      <c r="D304" s="88">
        <f t="shared" si="35"/>
        <v>0.27900000000000003</v>
      </c>
      <c r="E304" s="88">
        <f t="shared" si="35"/>
        <v>6.0999999999999999E-2</v>
      </c>
      <c r="F304" s="88">
        <f t="shared" si="35"/>
        <v>2.5999999999999999E-2</v>
      </c>
      <c r="G304" s="89">
        <v>0.26</v>
      </c>
      <c r="H304" s="89">
        <v>0.27900000000000003</v>
      </c>
      <c r="I304" s="89">
        <v>6.0999999999999999E-2</v>
      </c>
      <c r="J304" s="89">
        <v>2.5999999999999999E-2</v>
      </c>
      <c r="K304" s="78">
        <f>((10/3)*L302)+((2/3)*L314)</f>
        <v>25041</v>
      </c>
      <c r="L304" s="96"/>
      <c r="M304" s="355">
        <f t="shared" si="36"/>
        <v>0.6</v>
      </c>
      <c r="N304" s="355">
        <v>0.26</v>
      </c>
      <c r="O304" s="355">
        <f t="shared" si="37"/>
        <v>0.61</v>
      </c>
      <c r="P304" s="355">
        <v>0.34620000000000001</v>
      </c>
      <c r="Q304" s="355">
        <v>0.69640000000000002</v>
      </c>
      <c r="R304" s="355">
        <v>0.6</v>
      </c>
      <c r="S304" s="355">
        <v>0.61</v>
      </c>
    </row>
    <row r="305" spans="1:19" s="80" customFormat="1">
      <c r="A305" s="79">
        <f t="shared" si="32"/>
        <v>46721</v>
      </c>
      <c r="B305" s="79">
        <f t="shared" si="31"/>
        <v>47086</v>
      </c>
      <c r="C305" s="88">
        <f t="shared" si="35"/>
        <v>0.26</v>
      </c>
      <c r="D305" s="88">
        <f t="shared" si="35"/>
        <v>0.27900000000000003</v>
      </c>
      <c r="E305" s="88">
        <f t="shared" si="35"/>
        <v>6.0999999999999999E-2</v>
      </c>
      <c r="F305" s="88">
        <f t="shared" si="35"/>
        <v>2.5999999999999999E-2</v>
      </c>
      <c r="G305" s="89">
        <v>0.26</v>
      </c>
      <c r="H305" s="89">
        <v>0.27900000000000003</v>
      </c>
      <c r="I305" s="89">
        <v>6.0999999999999999E-2</v>
      </c>
      <c r="J305" s="89">
        <v>2.5999999999999999E-2</v>
      </c>
      <c r="K305" s="78">
        <f>((9/3)*L302)+((3/3)*L314)</f>
        <v>25144</v>
      </c>
      <c r="L305" s="96"/>
      <c r="M305" s="355">
        <f t="shared" si="36"/>
        <v>0.6</v>
      </c>
      <c r="N305" s="355">
        <v>0.26</v>
      </c>
      <c r="O305" s="355">
        <f t="shared" si="37"/>
        <v>0.61</v>
      </c>
      <c r="P305" s="355">
        <v>0.34620000000000001</v>
      </c>
      <c r="Q305" s="355">
        <v>0.69640000000000002</v>
      </c>
      <c r="R305" s="355">
        <v>0.6</v>
      </c>
      <c r="S305" s="355">
        <v>0.61</v>
      </c>
    </row>
    <row r="306" spans="1:19" s="80" customFormat="1">
      <c r="A306" s="79">
        <f t="shared" si="32"/>
        <v>46752</v>
      </c>
      <c r="B306" s="79">
        <f t="shared" si="31"/>
        <v>47117</v>
      </c>
      <c r="C306" s="88">
        <f t="shared" si="35"/>
        <v>0.26</v>
      </c>
      <c r="D306" s="88">
        <f t="shared" si="35"/>
        <v>0.27900000000000003</v>
      </c>
      <c r="E306" s="88">
        <f t="shared" si="35"/>
        <v>6.0999999999999999E-2</v>
      </c>
      <c r="F306" s="88">
        <f t="shared" si="35"/>
        <v>2.5999999999999999E-2</v>
      </c>
      <c r="G306" s="89">
        <v>0.26</v>
      </c>
      <c r="H306" s="89">
        <v>0.27900000000000003</v>
      </c>
      <c r="I306" s="89">
        <v>6.0999999999999999E-2</v>
      </c>
      <c r="J306" s="89">
        <v>2.5999999999999999E-2</v>
      </c>
      <c r="K306" s="78">
        <f>((8/3)*L302)+((4/3)*L314)</f>
        <v>25248</v>
      </c>
      <c r="L306" s="96"/>
      <c r="M306" s="355">
        <f t="shared" si="36"/>
        <v>0.6</v>
      </c>
      <c r="N306" s="355">
        <v>0.26</v>
      </c>
      <c r="O306" s="355">
        <f t="shared" si="37"/>
        <v>0.61</v>
      </c>
      <c r="P306" s="355">
        <v>0.34620000000000001</v>
      </c>
      <c r="Q306" s="355">
        <v>0.69640000000000002</v>
      </c>
      <c r="R306" s="355">
        <v>0.6</v>
      </c>
      <c r="S306" s="355">
        <v>0.61</v>
      </c>
    </row>
    <row r="307" spans="1:19" s="80" customFormat="1">
      <c r="A307" s="79">
        <f t="shared" si="32"/>
        <v>46783</v>
      </c>
      <c r="B307" s="79">
        <f t="shared" si="31"/>
        <v>47148</v>
      </c>
      <c r="C307" s="88">
        <f t="shared" ref="C307:F322" si="38">AVERAGE(G307:G318)</f>
        <v>0.26</v>
      </c>
      <c r="D307" s="88">
        <f t="shared" si="38"/>
        <v>0.27900000000000003</v>
      </c>
      <c r="E307" s="88">
        <f t="shared" si="38"/>
        <v>6.0999999999999999E-2</v>
      </c>
      <c r="F307" s="88">
        <f t="shared" si="38"/>
        <v>2.5999999999999999E-2</v>
      </c>
      <c r="G307" s="89">
        <v>0.26</v>
      </c>
      <c r="H307" s="89">
        <v>0.27900000000000003</v>
      </c>
      <c r="I307" s="89">
        <v>6.0999999999999999E-2</v>
      </c>
      <c r="J307" s="89">
        <v>2.5999999999999999E-2</v>
      </c>
      <c r="K307" s="78">
        <f>((7/3)*L302)+((5/3)*L314)</f>
        <v>25351</v>
      </c>
      <c r="L307" s="96"/>
      <c r="M307" s="355">
        <f t="shared" si="36"/>
        <v>0.6</v>
      </c>
      <c r="N307" s="355">
        <v>0.26</v>
      </c>
      <c r="O307" s="355">
        <f t="shared" si="37"/>
        <v>0.61</v>
      </c>
      <c r="P307" s="355">
        <v>0.34620000000000001</v>
      </c>
      <c r="Q307" s="355">
        <v>0.69640000000000002</v>
      </c>
      <c r="R307" s="355">
        <v>0.6</v>
      </c>
      <c r="S307" s="355">
        <v>0.61</v>
      </c>
    </row>
    <row r="308" spans="1:19" s="80" customFormat="1">
      <c r="A308" s="79">
        <f t="shared" si="32"/>
        <v>46812</v>
      </c>
      <c r="B308" s="79">
        <f t="shared" si="31"/>
        <v>47176</v>
      </c>
      <c r="C308" s="88">
        <f t="shared" si="38"/>
        <v>0.26</v>
      </c>
      <c r="D308" s="88">
        <f t="shared" si="38"/>
        <v>0.27900000000000003</v>
      </c>
      <c r="E308" s="88">
        <f t="shared" si="38"/>
        <v>6.0999999999999999E-2</v>
      </c>
      <c r="F308" s="88">
        <f t="shared" si="38"/>
        <v>2.5999999999999999E-2</v>
      </c>
      <c r="G308" s="89">
        <v>0.26</v>
      </c>
      <c r="H308" s="89">
        <v>0.27900000000000003</v>
      </c>
      <c r="I308" s="89">
        <v>6.0999999999999999E-2</v>
      </c>
      <c r="J308" s="89">
        <v>2.5999999999999999E-2</v>
      </c>
      <c r="K308" s="78">
        <f>((6/3)*L302)+((6/3)*L314)</f>
        <v>25454</v>
      </c>
      <c r="L308" s="96"/>
      <c r="M308" s="355">
        <f t="shared" si="36"/>
        <v>0.6</v>
      </c>
      <c r="N308" s="355">
        <v>0.26</v>
      </c>
      <c r="O308" s="355">
        <f t="shared" si="37"/>
        <v>0.61</v>
      </c>
      <c r="P308" s="355">
        <v>0.34620000000000001</v>
      </c>
      <c r="Q308" s="355">
        <v>0.69640000000000002</v>
      </c>
      <c r="R308" s="355">
        <v>0.6</v>
      </c>
      <c r="S308" s="355">
        <v>0.61</v>
      </c>
    </row>
    <row r="309" spans="1:19" s="80" customFormat="1">
      <c r="A309" s="79">
        <f t="shared" si="32"/>
        <v>46843</v>
      </c>
      <c r="B309" s="79">
        <f t="shared" si="31"/>
        <v>47207</v>
      </c>
      <c r="C309" s="88">
        <f t="shared" si="38"/>
        <v>0.26</v>
      </c>
      <c r="D309" s="88">
        <f t="shared" si="38"/>
        <v>0.27900000000000003</v>
      </c>
      <c r="E309" s="88">
        <f t="shared" si="38"/>
        <v>6.0999999999999999E-2</v>
      </c>
      <c r="F309" s="88">
        <f t="shared" si="38"/>
        <v>2.5999999999999999E-2</v>
      </c>
      <c r="G309" s="89">
        <v>0.26</v>
      </c>
      <c r="H309" s="89">
        <v>0.27900000000000003</v>
      </c>
      <c r="I309" s="89">
        <v>6.0999999999999999E-2</v>
      </c>
      <c r="J309" s="89">
        <v>2.5999999999999999E-2</v>
      </c>
      <c r="K309" s="78">
        <f>((5/3)*L302)+((7/3)*L314)</f>
        <v>25558</v>
      </c>
      <c r="L309" s="96"/>
      <c r="M309" s="355">
        <f t="shared" si="36"/>
        <v>0.6</v>
      </c>
      <c r="N309" s="355">
        <v>0.26</v>
      </c>
      <c r="O309" s="355">
        <f t="shared" si="37"/>
        <v>0.61</v>
      </c>
      <c r="P309" s="355">
        <v>0.34620000000000001</v>
      </c>
      <c r="Q309" s="355">
        <v>0.69640000000000002</v>
      </c>
      <c r="R309" s="355">
        <v>0.6</v>
      </c>
      <c r="S309" s="355">
        <v>0.61</v>
      </c>
    </row>
    <row r="310" spans="1:19" s="80" customFormat="1">
      <c r="A310" s="79">
        <f t="shared" si="32"/>
        <v>46873</v>
      </c>
      <c r="B310" s="79">
        <f t="shared" si="31"/>
        <v>47237</v>
      </c>
      <c r="C310" s="88">
        <f t="shared" si="38"/>
        <v>0.26</v>
      </c>
      <c r="D310" s="88">
        <f t="shared" si="38"/>
        <v>0.27900000000000003</v>
      </c>
      <c r="E310" s="88">
        <f t="shared" si="38"/>
        <v>6.0999999999999999E-2</v>
      </c>
      <c r="F310" s="88">
        <f t="shared" si="38"/>
        <v>2.5999999999999999E-2</v>
      </c>
      <c r="G310" s="89">
        <v>0.26</v>
      </c>
      <c r="H310" s="89">
        <v>0.27900000000000003</v>
      </c>
      <c r="I310" s="89">
        <v>6.0999999999999999E-2</v>
      </c>
      <c r="J310" s="89">
        <v>2.5999999999999999E-2</v>
      </c>
      <c r="K310" s="78">
        <f>((4/3)*L302)+((8/3)*L314)</f>
        <v>25661</v>
      </c>
      <c r="L310" s="96"/>
      <c r="M310" s="355">
        <f t="shared" si="36"/>
        <v>0.6</v>
      </c>
      <c r="N310" s="355">
        <v>0.26</v>
      </c>
      <c r="O310" s="355">
        <f t="shared" si="37"/>
        <v>0.61</v>
      </c>
      <c r="P310" s="355">
        <v>0.34620000000000001</v>
      </c>
      <c r="Q310" s="355">
        <v>0.69640000000000002</v>
      </c>
      <c r="R310" s="355">
        <v>0.6</v>
      </c>
      <c r="S310" s="355">
        <v>0.61</v>
      </c>
    </row>
    <row r="311" spans="1:19" s="80" customFormat="1">
      <c r="A311" s="79">
        <f t="shared" si="32"/>
        <v>46904</v>
      </c>
      <c r="B311" s="79">
        <f t="shared" si="31"/>
        <v>47268</v>
      </c>
      <c r="C311" s="88">
        <f t="shared" si="38"/>
        <v>0.26</v>
      </c>
      <c r="D311" s="88">
        <f t="shared" si="38"/>
        <v>0.27900000000000003</v>
      </c>
      <c r="E311" s="88">
        <f t="shared" si="38"/>
        <v>6.0999999999999999E-2</v>
      </c>
      <c r="F311" s="88">
        <f t="shared" si="38"/>
        <v>2.5999999999999999E-2</v>
      </c>
      <c r="G311" s="89">
        <v>0.26</v>
      </c>
      <c r="H311" s="89">
        <v>0.27900000000000003</v>
      </c>
      <c r="I311" s="89">
        <v>6.0999999999999999E-2</v>
      </c>
      <c r="J311" s="89">
        <v>2.5999999999999999E-2</v>
      </c>
      <c r="K311" s="78">
        <f>((3/3)*L302)+((9/3)*L314)</f>
        <v>25765</v>
      </c>
      <c r="L311" s="96"/>
      <c r="M311" s="355">
        <f t="shared" si="36"/>
        <v>0.6</v>
      </c>
      <c r="N311" s="355">
        <v>0.26</v>
      </c>
      <c r="O311" s="355">
        <f t="shared" si="37"/>
        <v>0.61</v>
      </c>
      <c r="P311" s="355">
        <v>0.34620000000000001</v>
      </c>
      <c r="Q311" s="355">
        <v>0.69640000000000002</v>
      </c>
      <c r="R311" s="355">
        <v>0.6</v>
      </c>
      <c r="S311" s="355">
        <v>0.61</v>
      </c>
    </row>
    <row r="312" spans="1:19" s="80" customFormat="1">
      <c r="A312" s="79">
        <f t="shared" si="32"/>
        <v>46934</v>
      </c>
      <c r="B312" s="79">
        <f t="shared" si="31"/>
        <v>47298</v>
      </c>
      <c r="C312" s="88">
        <f t="shared" si="38"/>
        <v>0.26</v>
      </c>
      <c r="D312" s="88">
        <f t="shared" si="38"/>
        <v>0.27900000000000003</v>
      </c>
      <c r="E312" s="88">
        <f t="shared" si="38"/>
        <v>6.0999999999999999E-2</v>
      </c>
      <c r="F312" s="88">
        <f t="shared" si="38"/>
        <v>2.5999999999999999E-2</v>
      </c>
      <c r="G312" s="89">
        <v>0.26</v>
      </c>
      <c r="H312" s="89">
        <v>0.27900000000000003</v>
      </c>
      <c r="I312" s="89">
        <v>6.0999999999999999E-2</v>
      </c>
      <c r="J312" s="89">
        <v>2.5999999999999999E-2</v>
      </c>
      <c r="K312" s="78">
        <f>((2/3)*L302)+((10/3)*L314)</f>
        <v>25868</v>
      </c>
      <c r="L312" s="96"/>
      <c r="M312" s="355">
        <f t="shared" si="36"/>
        <v>0.6</v>
      </c>
      <c r="N312" s="355">
        <v>0.26</v>
      </c>
      <c r="O312" s="355">
        <f t="shared" si="37"/>
        <v>0.61</v>
      </c>
      <c r="P312" s="355">
        <v>0.34620000000000001</v>
      </c>
      <c r="Q312" s="355">
        <v>0.69640000000000002</v>
      </c>
      <c r="R312" s="355">
        <v>0.6</v>
      </c>
      <c r="S312" s="355">
        <v>0.61</v>
      </c>
    </row>
    <row r="313" spans="1:19" s="80" customFormat="1">
      <c r="A313" s="79">
        <f t="shared" si="32"/>
        <v>46965</v>
      </c>
      <c r="B313" s="79">
        <f t="shared" si="31"/>
        <v>47329</v>
      </c>
      <c r="C313" s="88">
        <f t="shared" si="38"/>
        <v>0.26</v>
      </c>
      <c r="D313" s="88">
        <f t="shared" si="38"/>
        <v>0.27900000000000003</v>
      </c>
      <c r="E313" s="88">
        <f t="shared" si="38"/>
        <v>6.0999999999999999E-2</v>
      </c>
      <c r="F313" s="88">
        <f t="shared" si="38"/>
        <v>2.5999999999999999E-2</v>
      </c>
      <c r="G313" s="89">
        <v>0.26</v>
      </c>
      <c r="H313" s="89">
        <v>0.27900000000000003</v>
      </c>
      <c r="I313" s="89">
        <v>6.0999999999999999E-2</v>
      </c>
      <c r="J313" s="89">
        <v>2.5999999999999999E-2</v>
      </c>
      <c r="K313" s="78">
        <f>((1/3)*L302)+((11/3)*L314)</f>
        <v>25972</v>
      </c>
      <c r="L313" s="96"/>
      <c r="M313" s="355">
        <f t="shared" si="36"/>
        <v>0.6</v>
      </c>
      <c r="N313" s="355">
        <v>0.26</v>
      </c>
      <c r="O313" s="355">
        <f t="shared" si="37"/>
        <v>0.61</v>
      </c>
      <c r="P313" s="355">
        <v>0.34620000000000001</v>
      </c>
      <c r="Q313" s="355">
        <v>0.69640000000000002</v>
      </c>
      <c r="R313" s="355">
        <v>0.6</v>
      </c>
      <c r="S313" s="355">
        <v>0.61</v>
      </c>
    </row>
    <row r="314" spans="1:19">
      <c r="A314" s="19">
        <f t="shared" si="32"/>
        <v>46996</v>
      </c>
      <c r="B314" s="19">
        <f t="shared" si="31"/>
        <v>47360</v>
      </c>
      <c r="C314" s="86">
        <f t="shared" si="38"/>
        <v>0.26</v>
      </c>
      <c r="D314" s="86">
        <f t="shared" si="38"/>
        <v>0.27900000000000003</v>
      </c>
      <c r="E314" s="86">
        <f t="shared" si="38"/>
        <v>6.0999999999999999E-2</v>
      </c>
      <c r="F314" s="86">
        <f t="shared" si="38"/>
        <v>2.5999999999999999E-2</v>
      </c>
      <c r="G314" s="87">
        <v>0.26</v>
      </c>
      <c r="H314" s="87">
        <v>0.27900000000000003</v>
      </c>
      <c r="I314" s="87">
        <v>6.0999999999999999E-2</v>
      </c>
      <c r="J314" s="87">
        <v>2.5999999999999999E-2</v>
      </c>
      <c r="K314" s="25">
        <f>(L314*4)</f>
        <v>26075</v>
      </c>
      <c r="L314" s="95">
        <f>L302*1.05</f>
        <v>6518.83</v>
      </c>
      <c r="M314" s="82">
        <f t="shared" si="36"/>
        <v>0.6</v>
      </c>
      <c r="N314" s="82">
        <v>0.26</v>
      </c>
      <c r="O314" s="82">
        <f t="shared" si="37"/>
        <v>0.61</v>
      </c>
      <c r="P314" s="82">
        <v>0.34620000000000001</v>
      </c>
      <c r="Q314" s="82">
        <v>0.69640000000000002</v>
      </c>
      <c r="R314" s="82">
        <v>0.6</v>
      </c>
      <c r="S314" s="82">
        <v>0.61</v>
      </c>
    </row>
    <row r="315" spans="1:19">
      <c r="A315" s="19">
        <f t="shared" si="32"/>
        <v>47026</v>
      </c>
      <c r="B315" s="19">
        <f t="shared" si="31"/>
        <v>47390</v>
      </c>
      <c r="C315" s="86">
        <f t="shared" si="38"/>
        <v>0.26</v>
      </c>
      <c r="D315" s="86">
        <f t="shared" si="38"/>
        <v>0.27900000000000003</v>
      </c>
      <c r="E315" s="86">
        <f t="shared" si="38"/>
        <v>6.0999999999999999E-2</v>
      </c>
      <c r="F315" s="86">
        <f t="shared" si="38"/>
        <v>2.5999999999999999E-2</v>
      </c>
      <c r="G315" s="87">
        <v>0.26</v>
      </c>
      <c r="H315" s="87">
        <v>0.27900000000000003</v>
      </c>
      <c r="I315" s="87">
        <v>6.0999999999999999E-2</v>
      </c>
      <c r="J315" s="87">
        <v>2.5999999999999999E-2</v>
      </c>
      <c r="K315" s="25">
        <f>((11/3)*L314)+((1/3)*L326)</f>
        <v>26184</v>
      </c>
      <c r="L315" s="95"/>
      <c r="M315" s="82">
        <f t="shared" si="36"/>
        <v>0.6</v>
      </c>
      <c r="N315" s="82">
        <v>0.26</v>
      </c>
      <c r="O315" s="82">
        <f t="shared" si="37"/>
        <v>0.61</v>
      </c>
      <c r="P315" s="82">
        <v>0.34620000000000001</v>
      </c>
      <c r="Q315" s="82">
        <v>0.69640000000000002</v>
      </c>
      <c r="R315" s="82">
        <v>0.6</v>
      </c>
      <c r="S315" s="82">
        <v>0.61</v>
      </c>
    </row>
    <row r="316" spans="1:19">
      <c r="A316" s="19">
        <f t="shared" si="32"/>
        <v>47057</v>
      </c>
      <c r="B316" s="19">
        <f t="shared" si="31"/>
        <v>47421</v>
      </c>
      <c r="C316" s="86">
        <f t="shared" si="38"/>
        <v>0.26</v>
      </c>
      <c r="D316" s="86">
        <f t="shared" si="38"/>
        <v>0.27900000000000003</v>
      </c>
      <c r="E316" s="86">
        <f t="shared" si="38"/>
        <v>6.0999999999999999E-2</v>
      </c>
      <c r="F316" s="86">
        <f t="shared" si="38"/>
        <v>2.5999999999999999E-2</v>
      </c>
      <c r="G316" s="87">
        <v>0.26</v>
      </c>
      <c r="H316" s="87">
        <v>0.27900000000000003</v>
      </c>
      <c r="I316" s="87">
        <v>6.0999999999999999E-2</v>
      </c>
      <c r="J316" s="87">
        <v>2.5999999999999999E-2</v>
      </c>
      <c r="K316" s="25">
        <f>((10/3)*L314)+((2/3)*L326)</f>
        <v>26293</v>
      </c>
      <c r="L316" s="95"/>
      <c r="M316" s="82">
        <f t="shared" si="36"/>
        <v>0.6</v>
      </c>
      <c r="N316" s="82">
        <v>0.26</v>
      </c>
      <c r="O316" s="82">
        <f t="shared" si="37"/>
        <v>0.61</v>
      </c>
      <c r="P316" s="82">
        <v>0.34620000000000001</v>
      </c>
      <c r="Q316" s="82">
        <v>0.69640000000000002</v>
      </c>
      <c r="R316" s="82">
        <v>0.6</v>
      </c>
      <c r="S316" s="82">
        <v>0.61</v>
      </c>
    </row>
    <row r="317" spans="1:19">
      <c r="A317" s="19">
        <f t="shared" si="32"/>
        <v>47087</v>
      </c>
      <c r="B317" s="19">
        <f t="shared" si="31"/>
        <v>47451</v>
      </c>
      <c r="C317" s="86">
        <f t="shared" si="38"/>
        <v>0.26</v>
      </c>
      <c r="D317" s="86">
        <f t="shared" si="38"/>
        <v>0.27900000000000003</v>
      </c>
      <c r="E317" s="86">
        <f t="shared" si="38"/>
        <v>6.0999999999999999E-2</v>
      </c>
      <c r="F317" s="86">
        <f t="shared" si="38"/>
        <v>2.5999999999999999E-2</v>
      </c>
      <c r="G317" s="87">
        <v>0.26</v>
      </c>
      <c r="H317" s="87">
        <v>0.27900000000000003</v>
      </c>
      <c r="I317" s="87">
        <v>6.0999999999999999E-2</v>
      </c>
      <c r="J317" s="87">
        <v>2.5999999999999999E-2</v>
      </c>
      <c r="K317" s="25">
        <f>((9/3)*L314)+((3/3)*L326)</f>
        <v>26401</v>
      </c>
      <c r="L317" s="95"/>
      <c r="M317" s="82">
        <f t="shared" si="36"/>
        <v>0.6</v>
      </c>
      <c r="N317" s="82">
        <v>0.26</v>
      </c>
      <c r="O317" s="82">
        <f t="shared" si="37"/>
        <v>0.61</v>
      </c>
      <c r="P317" s="82">
        <v>0.34620000000000001</v>
      </c>
      <c r="Q317" s="82">
        <v>0.69640000000000002</v>
      </c>
      <c r="R317" s="82">
        <v>0.6</v>
      </c>
      <c r="S317" s="82">
        <v>0.61</v>
      </c>
    </row>
    <row r="318" spans="1:19">
      <c r="A318" s="19">
        <f t="shared" si="32"/>
        <v>47118</v>
      </c>
      <c r="B318" s="19">
        <f t="shared" si="31"/>
        <v>47482</v>
      </c>
      <c r="C318" s="86">
        <f t="shared" si="38"/>
        <v>0.26</v>
      </c>
      <c r="D318" s="86">
        <f t="shared" si="38"/>
        <v>0.27900000000000003</v>
      </c>
      <c r="E318" s="86">
        <f t="shared" si="38"/>
        <v>6.0999999999999999E-2</v>
      </c>
      <c r="F318" s="86">
        <f t="shared" si="38"/>
        <v>2.5999999999999999E-2</v>
      </c>
      <c r="G318" s="87">
        <v>0.26</v>
      </c>
      <c r="H318" s="87">
        <v>0.27900000000000003</v>
      </c>
      <c r="I318" s="87">
        <v>6.0999999999999999E-2</v>
      </c>
      <c r="J318" s="87">
        <v>2.5999999999999999E-2</v>
      </c>
      <c r="K318" s="25">
        <f>((8/3)*L314)+((4/3)*L326)</f>
        <v>26510</v>
      </c>
      <c r="L318" s="95"/>
      <c r="M318" s="82">
        <f t="shared" si="36"/>
        <v>0.6</v>
      </c>
      <c r="N318" s="82">
        <v>0.26</v>
      </c>
      <c r="O318" s="82">
        <f t="shared" si="37"/>
        <v>0.61</v>
      </c>
      <c r="P318" s="82">
        <v>0.34620000000000001</v>
      </c>
      <c r="Q318" s="82">
        <v>0.69640000000000002</v>
      </c>
      <c r="R318" s="82">
        <v>0.6</v>
      </c>
      <c r="S318" s="82">
        <v>0.61</v>
      </c>
    </row>
    <row r="319" spans="1:19">
      <c r="A319" s="19">
        <f t="shared" si="32"/>
        <v>47149</v>
      </c>
      <c r="B319" s="19">
        <f t="shared" si="31"/>
        <v>47513</v>
      </c>
      <c r="C319" s="86">
        <f t="shared" si="38"/>
        <v>0.26</v>
      </c>
      <c r="D319" s="86">
        <f t="shared" si="38"/>
        <v>0.27900000000000003</v>
      </c>
      <c r="E319" s="86">
        <f t="shared" si="38"/>
        <v>6.0999999999999999E-2</v>
      </c>
      <c r="F319" s="86">
        <f t="shared" si="38"/>
        <v>2.5999999999999999E-2</v>
      </c>
      <c r="G319" s="87">
        <v>0.26</v>
      </c>
      <c r="H319" s="87">
        <v>0.27900000000000003</v>
      </c>
      <c r="I319" s="87">
        <v>6.0999999999999999E-2</v>
      </c>
      <c r="J319" s="87">
        <v>2.5999999999999999E-2</v>
      </c>
      <c r="K319" s="25">
        <f>((7/3)*L314)+((5/3)*L326)</f>
        <v>26619</v>
      </c>
      <c r="L319" s="95"/>
      <c r="M319" s="82">
        <f t="shared" si="36"/>
        <v>0.6</v>
      </c>
      <c r="N319" s="82">
        <v>0.26</v>
      </c>
      <c r="O319" s="82">
        <f t="shared" si="37"/>
        <v>0.61</v>
      </c>
      <c r="P319" s="82">
        <v>0.34620000000000001</v>
      </c>
      <c r="Q319" s="82">
        <v>0.69640000000000002</v>
      </c>
      <c r="R319" s="82">
        <v>0.6</v>
      </c>
      <c r="S319" s="82">
        <v>0.61</v>
      </c>
    </row>
    <row r="320" spans="1:19">
      <c r="A320" s="19">
        <f t="shared" si="32"/>
        <v>47177</v>
      </c>
      <c r="B320" s="19">
        <f t="shared" si="31"/>
        <v>47541</v>
      </c>
      <c r="C320" s="86">
        <f t="shared" si="38"/>
        <v>0.26</v>
      </c>
      <c r="D320" s="86">
        <f t="shared" si="38"/>
        <v>0.27900000000000003</v>
      </c>
      <c r="E320" s="86">
        <f t="shared" si="38"/>
        <v>6.0999999999999999E-2</v>
      </c>
      <c r="F320" s="86">
        <f t="shared" si="38"/>
        <v>2.5999999999999999E-2</v>
      </c>
      <c r="G320" s="87">
        <v>0.26</v>
      </c>
      <c r="H320" s="87">
        <v>0.27900000000000003</v>
      </c>
      <c r="I320" s="87">
        <v>6.0999999999999999E-2</v>
      </c>
      <c r="J320" s="87">
        <v>2.5999999999999999E-2</v>
      </c>
      <c r="K320" s="25">
        <f>((6/3)*L314)+((6/3)*L326)</f>
        <v>26727</v>
      </c>
      <c r="L320" s="95"/>
      <c r="M320" s="82">
        <f t="shared" si="36"/>
        <v>0.6</v>
      </c>
      <c r="N320" s="82">
        <v>0.26</v>
      </c>
      <c r="O320" s="82">
        <f t="shared" si="37"/>
        <v>0.61</v>
      </c>
      <c r="P320" s="82">
        <v>0.34620000000000001</v>
      </c>
      <c r="Q320" s="82">
        <v>0.69640000000000002</v>
      </c>
      <c r="R320" s="82">
        <v>0.6</v>
      </c>
      <c r="S320" s="82">
        <v>0.61</v>
      </c>
    </row>
    <row r="321" spans="1:19">
      <c r="A321" s="19">
        <f t="shared" si="32"/>
        <v>47208</v>
      </c>
      <c r="B321" s="19">
        <f t="shared" si="31"/>
        <v>47572</v>
      </c>
      <c r="C321" s="86">
        <f t="shared" si="38"/>
        <v>0.26</v>
      </c>
      <c r="D321" s="86">
        <f t="shared" si="38"/>
        <v>0.27900000000000003</v>
      </c>
      <c r="E321" s="86">
        <f t="shared" si="38"/>
        <v>6.0999999999999999E-2</v>
      </c>
      <c r="F321" s="86">
        <f t="shared" si="38"/>
        <v>2.5999999999999999E-2</v>
      </c>
      <c r="G321" s="87">
        <v>0.26</v>
      </c>
      <c r="H321" s="87">
        <v>0.27900000000000003</v>
      </c>
      <c r="I321" s="87">
        <v>6.0999999999999999E-2</v>
      </c>
      <c r="J321" s="87">
        <v>2.5999999999999999E-2</v>
      </c>
      <c r="K321" s="25">
        <f>((5/3)*L314)+((7/3)*L326)</f>
        <v>26836</v>
      </c>
      <c r="L321" s="95"/>
      <c r="M321" s="82">
        <f t="shared" si="36"/>
        <v>0.6</v>
      </c>
      <c r="N321" s="82">
        <v>0.26</v>
      </c>
      <c r="O321" s="82">
        <f t="shared" si="37"/>
        <v>0.61</v>
      </c>
      <c r="P321" s="82">
        <v>0.34620000000000001</v>
      </c>
      <c r="Q321" s="82">
        <v>0.69640000000000002</v>
      </c>
      <c r="R321" s="82">
        <v>0.6</v>
      </c>
      <c r="S321" s="82">
        <v>0.61</v>
      </c>
    </row>
    <row r="322" spans="1:19">
      <c r="A322" s="19">
        <f t="shared" si="32"/>
        <v>47238</v>
      </c>
      <c r="B322" s="19">
        <f t="shared" ref="B322:B385" si="39">EDATE(A322,12)-1</f>
        <v>47602</v>
      </c>
      <c r="C322" s="86">
        <f t="shared" si="38"/>
        <v>0.26</v>
      </c>
      <c r="D322" s="86">
        <f t="shared" si="38"/>
        <v>0.27900000000000003</v>
      </c>
      <c r="E322" s="86">
        <f t="shared" si="38"/>
        <v>6.0999999999999999E-2</v>
      </c>
      <c r="F322" s="86">
        <f t="shared" si="38"/>
        <v>2.5999999999999999E-2</v>
      </c>
      <c r="G322" s="87">
        <v>0.26</v>
      </c>
      <c r="H322" s="87">
        <v>0.27900000000000003</v>
      </c>
      <c r="I322" s="87">
        <v>6.0999999999999999E-2</v>
      </c>
      <c r="J322" s="87">
        <v>2.5999999999999999E-2</v>
      </c>
      <c r="K322" s="25">
        <f>((4/3)*L314)+((8/3)*L326)</f>
        <v>26944</v>
      </c>
      <c r="L322" s="95"/>
      <c r="M322" s="82">
        <f t="shared" si="36"/>
        <v>0.6</v>
      </c>
      <c r="N322" s="82">
        <v>0.26</v>
      </c>
      <c r="O322" s="82">
        <f t="shared" si="37"/>
        <v>0.61</v>
      </c>
      <c r="P322" s="82">
        <v>0.34620000000000001</v>
      </c>
      <c r="Q322" s="82">
        <v>0.69640000000000002</v>
      </c>
      <c r="R322" s="82">
        <v>0.6</v>
      </c>
      <c r="S322" s="82">
        <v>0.61</v>
      </c>
    </row>
    <row r="323" spans="1:19">
      <c r="A323" s="19">
        <f t="shared" ref="A323:A386" si="40">EDATE(A322,1)</f>
        <v>47269</v>
      </c>
      <c r="B323" s="19">
        <f t="shared" si="39"/>
        <v>47633</v>
      </c>
      <c r="C323" s="86">
        <f t="shared" ref="C323:F338" si="41">AVERAGE(G323:G334)</f>
        <v>0.26</v>
      </c>
      <c r="D323" s="86">
        <f t="shared" si="41"/>
        <v>0.27900000000000003</v>
      </c>
      <c r="E323" s="86">
        <f t="shared" si="41"/>
        <v>6.0999999999999999E-2</v>
      </c>
      <c r="F323" s="86">
        <f t="shared" si="41"/>
        <v>2.5999999999999999E-2</v>
      </c>
      <c r="G323" s="87">
        <v>0.26</v>
      </c>
      <c r="H323" s="87">
        <v>0.27900000000000003</v>
      </c>
      <c r="I323" s="87">
        <v>6.0999999999999999E-2</v>
      </c>
      <c r="J323" s="87">
        <v>2.5999999999999999E-2</v>
      </c>
      <c r="K323" s="25">
        <f>((3/3)*L314)+((9/3)*L326)</f>
        <v>27053</v>
      </c>
      <c r="L323" s="95"/>
      <c r="M323" s="82">
        <f t="shared" si="36"/>
        <v>0.6</v>
      </c>
      <c r="N323" s="82">
        <v>0.26</v>
      </c>
      <c r="O323" s="82">
        <f t="shared" si="37"/>
        <v>0.61</v>
      </c>
      <c r="P323" s="82">
        <v>0.34620000000000001</v>
      </c>
      <c r="Q323" s="82">
        <v>0.69640000000000002</v>
      </c>
      <c r="R323" s="82">
        <v>0.6</v>
      </c>
      <c r="S323" s="82">
        <v>0.61</v>
      </c>
    </row>
    <row r="324" spans="1:19">
      <c r="A324" s="19">
        <f t="shared" si="40"/>
        <v>47299</v>
      </c>
      <c r="B324" s="19">
        <f t="shared" si="39"/>
        <v>47663</v>
      </c>
      <c r="C324" s="86">
        <f t="shared" si="41"/>
        <v>0.26</v>
      </c>
      <c r="D324" s="86">
        <f t="shared" si="41"/>
        <v>0.27900000000000003</v>
      </c>
      <c r="E324" s="86">
        <f t="shared" si="41"/>
        <v>6.0999999999999999E-2</v>
      </c>
      <c r="F324" s="86">
        <f t="shared" si="41"/>
        <v>2.5999999999999999E-2</v>
      </c>
      <c r="G324" s="87">
        <v>0.26</v>
      </c>
      <c r="H324" s="87">
        <v>0.27900000000000003</v>
      </c>
      <c r="I324" s="87">
        <v>6.0999999999999999E-2</v>
      </c>
      <c r="J324" s="87">
        <v>2.5999999999999999E-2</v>
      </c>
      <c r="K324" s="25">
        <f>((2/3)*L314)+((10/3)*L326)</f>
        <v>27162</v>
      </c>
      <c r="L324" s="95"/>
      <c r="M324" s="82">
        <f t="shared" si="36"/>
        <v>0.6</v>
      </c>
      <c r="N324" s="82">
        <v>0.26</v>
      </c>
      <c r="O324" s="82">
        <f t="shared" si="37"/>
        <v>0.61</v>
      </c>
      <c r="P324" s="82">
        <v>0.34620000000000001</v>
      </c>
      <c r="Q324" s="82">
        <v>0.69640000000000002</v>
      </c>
      <c r="R324" s="82">
        <v>0.6</v>
      </c>
      <c r="S324" s="82">
        <v>0.61</v>
      </c>
    </row>
    <row r="325" spans="1:19">
      <c r="A325" s="19">
        <f t="shared" si="40"/>
        <v>47330</v>
      </c>
      <c r="B325" s="19">
        <f t="shared" si="39"/>
        <v>47694</v>
      </c>
      <c r="C325" s="83">
        <f t="shared" si="41"/>
        <v>0.26</v>
      </c>
      <c r="D325" s="83">
        <f t="shared" si="41"/>
        <v>0.27900000000000003</v>
      </c>
      <c r="E325" s="83">
        <f t="shared" si="41"/>
        <v>6.0999999999999999E-2</v>
      </c>
      <c r="F325" s="83">
        <f t="shared" si="41"/>
        <v>2.5999999999999999E-2</v>
      </c>
      <c r="G325" s="87">
        <v>0.26</v>
      </c>
      <c r="H325" s="87">
        <v>0.27900000000000003</v>
      </c>
      <c r="I325" s="87">
        <v>6.0999999999999999E-2</v>
      </c>
      <c r="J325" s="87">
        <v>2.5999999999999999E-2</v>
      </c>
      <c r="K325" s="25">
        <f>((1/3)*L314)+((11/3)*L326)</f>
        <v>27270</v>
      </c>
      <c r="L325" s="95"/>
      <c r="M325" s="82">
        <f t="shared" si="36"/>
        <v>0.6</v>
      </c>
      <c r="N325" s="82">
        <v>0.26</v>
      </c>
      <c r="O325" s="82">
        <f t="shared" si="37"/>
        <v>0.61</v>
      </c>
      <c r="P325" s="82">
        <v>0.34620000000000001</v>
      </c>
      <c r="Q325" s="82">
        <v>0.69640000000000002</v>
      </c>
      <c r="R325" s="82">
        <v>0.6</v>
      </c>
      <c r="S325" s="82">
        <v>0.61</v>
      </c>
    </row>
    <row r="326" spans="1:19" s="80" customFormat="1">
      <c r="A326" s="79">
        <f t="shared" si="40"/>
        <v>47361</v>
      </c>
      <c r="B326" s="79">
        <f t="shared" si="39"/>
        <v>47725</v>
      </c>
      <c r="C326" s="88">
        <f t="shared" si="41"/>
        <v>0.26</v>
      </c>
      <c r="D326" s="88">
        <f t="shared" si="41"/>
        <v>0.27900000000000003</v>
      </c>
      <c r="E326" s="88">
        <f t="shared" si="41"/>
        <v>6.0999999999999999E-2</v>
      </c>
      <c r="F326" s="88">
        <f t="shared" si="41"/>
        <v>2.5999999999999999E-2</v>
      </c>
      <c r="G326" s="89">
        <v>0.26</v>
      </c>
      <c r="H326" s="89">
        <v>0.27900000000000003</v>
      </c>
      <c r="I326" s="89">
        <v>6.0999999999999999E-2</v>
      </c>
      <c r="J326" s="89">
        <v>2.5999999999999999E-2</v>
      </c>
      <c r="K326" s="78">
        <f>(L326*4)</f>
        <v>27379</v>
      </c>
      <c r="L326" s="96">
        <f>L314*1.05</f>
        <v>6844.77</v>
      </c>
      <c r="M326" s="355">
        <f t="shared" si="36"/>
        <v>0.6</v>
      </c>
      <c r="N326" s="355">
        <v>0.26</v>
      </c>
      <c r="O326" s="355">
        <f t="shared" si="37"/>
        <v>0.61</v>
      </c>
      <c r="P326" s="355">
        <v>0.34620000000000001</v>
      </c>
      <c r="Q326" s="355">
        <v>0.69640000000000002</v>
      </c>
      <c r="R326" s="355">
        <v>0.6</v>
      </c>
      <c r="S326" s="355">
        <v>0.61</v>
      </c>
    </row>
    <row r="327" spans="1:19" s="80" customFormat="1">
      <c r="A327" s="79">
        <f t="shared" si="40"/>
        <v>47391</v>
      </c>
      <c r="B327" s="79">
        <f t="shared" si="39"/>
        <v>47755</v>
      </c>
      <c r="C327" s="88">
        <f t="shared" si="41"/>
        <v>0.26</v>
      </c>
      <c r="D327" s="88">
        <f t="shared" si="41"/>
        <v>0.27900000000000003</v>
      </c>
      <c r="E327" s="88">
        <f t="shared" si="41"/>
        <v>6.0999999999999999E-2</v>
      </c>
      <c r="F327" s="88">
        <f t="shared" si="41"/>
        <v>2.5999999999999999E-2</v>
      </c>
      <c r="G327" s="89">
        <v>0.26</v>
      </c>
      <c r="H327" s="89">
        <v>0.27900000000000003</v>
      </c>
      <c r="I327" s="89">
        <v>6.0999999999999999E-2</v>
      </c>
      <c r="J327" s="89">
        <v>2.5999999999999999E-2</v>
      </c>
      <c r="K327" s="78">
        <f>((11/3)*L326)+((1/3)*L338)</f>
        <v>27493</v>
      </c>
      <c r="L327" s="96"/>
      <c r="M327" s="355">
        <f t="shared" si="36"/>
        <v>0.6</v>
      </c>
      <c r="N327" s="355">
        <v>0.26</v>
      </c>
      <c r="O327" s="355">
        <f t="shared" si="37"/>
        <v>0.61</v>
      </c>
      <c r="P327" s="355">
        <v>0.34620000000000001</v>
      </c>
      <c r="Q327" s="355">
        <v>0.69640000000000002</v>
      </c>
      <c r="R327" s="355">
        <v>0.6</v>
      </c>
      <c r="S327" s="355">
        <v>0.61</v>
      </c>
    </row>
    <row r="328" spans="1:19" s="80" customFormat="1">
      <c r="A328" s="79">
        <f t="shared" si="40"/>
        <v>47422</v>
      </c>
      <c r="B328" s="79">
        <f t="shared" si="39"/>
        <v>47786</v>
      </c>
      <c r="C328" s="88">
        <f t="shared" si="41"/>
        <v>0.26</v>
      </c>
      <c r="D328" s="88">
        <f t="shared" si="41"/>
        <v>0.27900000000000003</v>
      </c>
      <c r="E328" s="88">
        <f t="shared" si="41"/>
        <v>6.0999999999999999E-2</v>
      </c>
      <c r="F328" s="88">
        <f t="shared" si="41"/>
        <v>2.5999999999999999E-2</v>
      </c>
      <c r="G328" s="89">
        <v>0.26</v>
      </c>
      <c r="H328" s="89">
        <v>0.27900000000000003</v>
      </c>
      <c r="I328" s="89">
        <v>6.0999999999999999E-2</v>
      </c>
      <c r="J328" s="89">
        <v>2.5999999999999999E-2</v>
      </c>
      <c r="K328" s="78">
        <f>((10/3)*L326)+((2/3)*L338)</f>
        <v>27607</v>
      </c>
      <c r="L328" s="96"/>
      <c r="M328" s="355">
        <f t="shared" si="36"/>
        <v>0.6</v>
      </c>
      <c r="N328" s="355">
        <v>0.26</v>
      </c>
      <c r="O328" s="355">
        <f t="shared" si="37"/>
        <v>0.61</v>
      </c>
      <c r="P328" s="355">
        <v>0.34620000000000001</v>
      </c>
      <c r="Q328" s="355">
        <v>0.69640000000000002</v>
      </c>
      <c r="R328" s="355">
        <v>0.6</v>
      </c>
      <c r="S328" s="355">
        <v>0.61</v>
      </c>
    </row>
    <row r="329" spans="1:19" s="80" customFormat="1">
      <c r="A329" s="79">
        <f t="shared" si="40"/>
        <v>47452</v>
      </c>
      <c r="B329" s="79">
        <f t="shared" si="39"/>
        <v>47816</v>
      </c>
      <c r="C329" s="88">
        <f t="shared" si="41"/>
        <v>0.26</v>
      </c>
      <c r="D329" s="88">
        <f t="shared" si="41"/>
        <v>0.27900000000000003</v>
      </c>
      <c r="E329" s="88">
        <f t="shared" si="41"/>
        <v>6.0999999999999999E-2</v>
      </c>
      <c r="F329" s="88">
        <f t="shared" si="41"/>
        <v>2.5999999999999999E-2</v>
      </c>
      <c r="G329" s="89">
        <v>0.26</v>
      </c>
      <c r="H329" s="89">
        <v>0.27900000000000003</v>
      </c>
      <c r="I329" s="89">
        <v>6.0999999999999999E-2</v>
      </c>
      <c r="J329" s="89">
        <v>2.5999999999999999E-2</v>
      </c>
      <c r="K329" s="78">
        <f>((9/3)*L326)+((3/3)*L338)</f>
        <v>27721</v>
      </c>
      <c r="L329" s="96"/>
      <c r="M329" s="355">
        <f t="shared" si="36"/>
        <v>0.6</v>
      </c>
      <c r="N329" s="355">
        <v>0.26</v>
      </c>
      <c r="O329" s="355">
        <f t="shared" si="37"/>
        <v>0.61</v>
      </c>
      <c r="P329" s="355">
        <v>0.34620000000000001</v>
      </c>
      <c r="Q329" s="355">
        <v>0.69640000000000002</v>
      </c>
      <c r="R329" s="355">
        <v>0.6</v>
      </c>
      <c r="S329" s="355">
        <v>0.61</v>
      </c>
    </row>
    <row r="330" spans="1:19" s="80" customFormat="1">
      <c r="A330" s="79">
        <f t="shared" si="40"/>
        <v>47483</v>
      </c>
      <c r="B330" s="79">
        <f t="shared" si="39"/>
        <v>47847</v>
      </c>
      <c r="C330" s="88">
        <f t="shared" si="41"/>
        <v>0.26</v>
      </c>
      <c r="D330" s="88">
        <f t="shared" si="41"/>
        <v>0.27900000000000003</v>
      </c>
      <c r="E330" s="88">
        <f t="shared" si="41"/>
        <v>6.0999999999999999E-2</v>
      </c>
      <c r="F330" s="88">
        <f t="shared" si="41"/>
        <v>2.5999999999999999E-2</v>
      </c>
      <c r="G330" s="89">
        <v>0.26</v>
      </c>
      <c r="H330" s="89">
        <v>0.27900000000000003</v>
      </c>
      <c r="I330" s="89">
        <v>6.0999999999999999E-2</v>
      </c>
      <c r="J330" s="89">
        <v>2.5999999999999999E-2</v>
      </c>
      <c r="K330" s="78">
        <f>((8/3)*L326)+((4/3)*L338)</f>
        <v>27835</v>
      </c>
      <c r="L330" s="96"/>
      <c r="M330" s="355">
        <f t="shared" si="36"/>
        <v>0.6</v>
      </c>
      <c r="N330" s="355">
        <v>0.26</v>
      </c>
      <c r="O330" s="355">
        <f t="shared" si="37"/>
        <v>0.61</v>
      </c>
      <c r="P330" s="355">
        <v>0.34620000000000001</v>
      </c>
      <c r="Q330" s="355">
        <v>0.69640000000000002</v>
      </c>
      <c r="R330" s="355">
        <v>0.6</v>
      </c>
      <c r="S330" s="355">
        <v>0.61</v>
      </c>
    </row>
    <row r="331" spans="1:19" s="80" customFormat="1">
      <c r="A331" s="79">
        <f t="shared" si="40"/>
        <v>47514</v>
      </c>
      <c r="B331" s="79">
        <f t="shared" si="39"/>
        <v>47878</v>
      </c>
      <c r="C331" s="88">
        <f t="shared" si="41"/>
        <v>0.26</v>
      </c>
      <c r="D331" s="88">
        <f t="shared" si="41"/>
        <v>0.27900000000000003</v>
      </c>
      <c r="E331" s="88">
        <f t="shared" si="41"/>
        <v>6.0999999999999999E-2</v>
      </c>
      <c r="F331" s="88">
        <f t="shared" si="41"/>
        <v>2.5999999999999999E-2</v>
      </c>
      <c r="G331" s="89">
        <v>0.26</v>
      </c>
      <c r="H331" s="89">
        <v>0.27900000000000003</v>
      </c>
      <c r="I331" s="89">
        <v>6.0999999999999999E-2</v>
      </c>
      <c r="J331" s="89">
        <v>2.5999999999999999E-2</v>
      </c>
      <c r="K331" s="78">
        <f>((7/3)*L326)+((5/3)*L338)</f>
        <v>27949</v>
      </c>
      <c r="L331" s="96"/>
      <c r="M331" s="355">
        <f t="shared" si="36"/>
        <v>0.6</v>
      </c>
      <c r="N331" s="355">
        <v>0.26</v>
      </c>
      <c r="O331" s="355">
        <f t="shared" si="37"/>
        <v>0.61</v>
      </c>
      <c r="P331" s="355">
        <v>0.34620000000000001</v>
      </c>
      <c r="Q331" s="355">
        <v>0.69640000000000002</v>
      </c>
      <c r="R331" s="355">
        <v>0.6</v>
      </c>
      <c r="S331" s="355">
        <v>0.61</v>
      </c>
    </row>
    <row r="332" spans="1:19" s="80" customFormat="1">
      <c r="A332" s="79">
        <f t="shared" si="40"/>
        <v>47542</v>
      </c>
      <c r="B332" s="79">
        <f t="shared" si="39"/>
        <v>47906</v>
      </c>
      <c r="C332" s="88">
        <f t="shared" si="41"/>
        <v>0.26</v>
      </c>
      <c r="D332" s="88">
        <f t="shared" si="41"/>
        <v>0.27900000000000003</v>
      </c>
      <c r="E332" s="88">
        <f t="shared" si="41"/>
        <v>6.0999999999999999E-2</v>
      </c>
      <c r="F332" s="88">
        <f t="shared" si="41"/>
        <v>2.5999999999999999E-2</v>
      </c>
      <c r="G332" s="89">
        <v>0.26</v>
      </c>
      <c r="H332" s="89">
        <v>0.27900000000000003</v>
      </c>
      <c r="I332" s="89">
        <v>6.0999999999999999E-2</v>
      </c>
      <c r="J332" s="89">
        <v>2.5999999999999999E-2</v>
      </c>
      <c r="K332" s="78">
        <f>((6/3)*L326)+((6/3)*L338)</f>
        <v>28064</v>
      </c>
      <c r="L332" s="96"/>
      <c r="M332" s="355">
        <f t="shared" si="36"/>
        <v>0.6</v>
      </c>
      <c r="N332" s="355">
        <v>0.26</v>
      </c>
      <c r="O332" s="355">
        <f t="shared" si="37"/>
        <v>0.61</v>
      </c>
      <c r="P332" s="355">
        <v>0.34620000000000001</v>
      </c>
      <c r="Q332" s="355">
        <v>0.69640000000000002</v>
      </c>
      <c r="R332" s="355">
        <v>0.6</v>
      </c>
      <c r="S332" s="355">
        <v>0.61</v>
      </c>
    </row>
    <row r="333" spans="1:19" s="80" customFormat="1">
      <c r="A333" s="79">
        <f t="shared" si="40"/>
        <v>47573</v>
      </c>
      <c r="B333" s="79">
        <f t="shared" si="39"/>
        <v>47937</v>
      </c>
      <c r="C333" s="88">
        <f t="shared" si="41"/>
        <v>0.26</v>
      </c>
      <c r="D333" s="88">
        <f t="shared" si="41"/>
        <v>0.27900000000000003</v>
      </c>
      <c r="E333" s="88">
        <f t="shared" si="41"/>
        <v>6.0999999999999999E-2</v>
      </c>
      <c r="F333" s="88">
        <f t="shared" si="41"/>
        <v>2.5999999999999999E-2</v>
      </c>
      <c r="G333" s="89">
        <v>0.26</v>
      </c>
      <c r="H333" s="89">
        <v>0.27900000000000003</v>
      </c>
      <c r="I333" s="89">
        <v>6.0999999999999999E-2</v>
      </c>
      <c r="J333" s="89">
        <v>2.5999999999999999E-2</v>
      </c>
      <c r="K333" s="78">
        <f>((5/3)*L326)+((7/3)*L338)</f>
        <v>28178</v>
      </c>
      <c r="L333" s="96"/>
      <c r="M333" s="355">
        <f t="shared" si="36"/>
        <v>0.6</v>
      </c>
      <c r="N333" s="355">
        <v>0.26</v>
      </c>
      <c r="O333" s="355">
        <f t="shared" si="37"/>
        <v>0.61</v>
      </c>
      <c r="P333" s="355">
        <v>0.34620000000000001</v>
      </c>
      <c r="Q333" s="355">
        <v>0.69640000000000002</v>
      </c>
      <c r="R333" s="355">
        <v>0.6</v>
      </c>
      <c r="S333" s="355">
        <v>0.61</v>
      </c>
    </row>
    <row r="334" spans="1:19" s="80" customFormat="1">
      <c r="A334" s="79">
        <f t="shared" si="40"/>
        <v>47603</v>
      </c>
      <c r="B334" s="79">
        <f t="shared" si="39"/>
        <v>47967</v>
      </c>
      <c r="C334" s="88">
        <f t="shared" si="41"/>
        <v>0.26</v>
      </c>
      <c r="D334" s="88">
        <f t="shared" si="41"/>
        <v>0.27900000000000003</v>
      </c>
      <c r="E334" s="88">
        <f t="shared" si="41"/>
        <v>6.0999999999999999E-2</v>
      </c>
      <c r="F334" s="88">
        <f t="shared" si="41"/>
        <v>2.5999999999999999E-2</v>
      </c>
      <c r="G334" s="89">
        <v>0.26</v>
      </c>
      <c r="H334" s="89">
        <v>0.27900000000000003</v>
      </c>
      <c r="I334" s="89">
        <v>6.0999999999999999E-2</v>
      </c>
      <c r="J334" s="89">
        <v>2.5999999999999999E-2</v>
      </c>
      <c r="K334" s="78">
        <f>((4/3)*L326)+((8/3)*L338)</f>
        <v>28292</v>
      </c>
      <c r="L334" s="96"/>
      <c r="M334" s="355">
        <f t="shared" si="36"/>
        <v>0.6</v>
      </c>
      <c r="N334" s="355">
        <v>0.26</v>
      </c>
      <c r="O334" s="355">
        <f t="shared" si="37"/>
        <v>0.61</v>
      </c>
      <c r="P334" s="355">
        <v>0.34620000000000001</v>
      </c>
      <c r="Q334" s="355">
        <v>0.69640000000000002</v>
      </c>
      <c r="R334" s="355">
        <v>0.6</v>
      </c>
      <c r="S334" s="355">
        <v>0.61</v>
      </c>
    </row>
    <row r="335" spans="1:19" s="80" customFormat="1">
      <c r="A335" s="79">
        <f t="shared" si="40"/>
        <v>47634</v>
      </c>
      <c r="B335" s="79">
        <f t="shared" si="39"/>
        <v>47998</v>
      </c>
      <c r="C335" s="88">
        <f t="shared" si="41"/>
        <v>0.26</v>
      </c>
      <c r="D335" s="88">
        <f t="shared" si="41"/>
        <v>0.27900000000000003</v>
      </c>
      <c r="E335" s="88">
        <f t="shared" si="41"/>
        <v>6.0999999999999999E-2</v>
      </c>
      <c r="F335" s="88">
        <f t="shared" si="41"/>
        <v>2.5999999999999999E-2</v>
      </c>
      <c r="G335" s="89">
        <v>0.26</v>
      </c>
      <c r="H335" s="89">
        <v>0.27900000000000003</v>
      </c>
      <c r="I335" s="89">
        <v>6.0999999999999999E-2</v>
      </c>
      <c r="J335" s="89">
        <v>2.5999999999999999E-2</v>
      </c>
      <c r="K335" s="78">
        <f>((3/3)*L326)+((9/3)*L338)</f>
        <v>28406</v>
      </c>
      <c r="L335" s="96"/>
      <c r="M335" s="355">
        <f t="shared" si="36"/>
        <v>0.6</v>
      </c>
      <c r="N335" s="355">
        <v>0.26</v>
      </c>
      <c r="O335" s="355">
        <f t="shared" si="37"/>
        <v>0.61</v>
      </c>
      <c r="P335" s="355">
        <v>0.34620000000000001</v>
      </c>
      <c r="Q335" s="355">
        <v>0.69640000000000002</v>
      </c>
      <c r="R335" s="355">
        <v>0.6</v>
      </c>
      <c r="S335" s="355">
        <v>0.61</v>
      </c>
    </row>
    <row r="336" spans="1:19" s="80" customFormat="1">
      <c r="A336" s="79">
        <f t="shared" si="40"/>
        <v>47664</v>
      </c>
      <c r="B336" s="79">
        <f t="shared" si="39"/>
        <v>48028</v>
      </c>
      <c r="C336" s="88">
        <f t="shared" si="41"/>
        <v>0.26</v>
      </c>
      <c r="D336" s="88">
        <f t="shared" si="41"/>
        <v>0.27900000000000003</v>
      </c>
      <c r="E336" s="88">
        <f t="shared" si="41"/>
        <v>6.0999999999999999E-2</v>
      </c>
      <c r="F336" s="88">
        <f t="shared" si="41"/>
        <v>2.5999999999999999E-2</v>
      </c>
      <c r="G336" s="89">
        <v>0.26</v>
      </c>
      <c r="H336" s="89">
        <v>0.27900000000000003</v>
      </c>
      <c r="I336" s="89">
        <v>6.0999999999999999E-2</v>
      </c>
      <c r="J336" s="89">
        <v>2.5999999999999999E-2</v>
      </c>
      <c r="K336" s="78">
        <f>((2/3)*L326)+((10/3)*L338)</f>
        <v>28520</v>
      </c>
      <c r="L336" s="96"/>
      <c r="M336" s="355">
        <f t="shared" si="36"/>
        <v>0.6</v>
      </c>
      <c r="N336" s="355">
        <v>0.26</v>
      </c>
      <c r="O336" s="355">
        <f t="shared" si="37"/>
        <v>0.61</v>
      </c>
      <c r="P336" s="355">
        <v>0.34620000000000001</v>
      </c>
      <c r="Q336" s="355">
        <v>0.69640000000000002</v>
      </c>
      <c r="R336" s="355">
        <v>0.6</v>
      </c>
      <c r="S336" s="355">
        <v>0.61</v>
      </c>
    </row>
    <row r="337" spans="1:19" s="80" customFormat="1">
      <c r="A337" s="79">
        <f t="shared" si="40"/>
        <v>47695</v>
      </c>
      <c r="B337" s="79">
        <f t="shared" si="39"/>
        <v>48059</v>
      </c>
      <c r="C337" s="88">
        <f t="shared" si="41"/>
        <v>0.26</v>
      </c>
      <c r="D337" s="88">
        <f t="shared" si="41"/>
        <v>0.27900000000000003</v>
      </c>
      <c r="E337" s="88">
        <f t="shared" si="41"/>
        <v>6.0999999999999999E-2</v>
      </c>
      <c r="F337" s="88">
        <f t="shared" si="41"/>
        <v>2.5999999999999999E-2</v>
      </c>
      <c r="G337" s="89">
        <v>0.26</v>
      </c>
      <c r="H337" s="89">
        <v>0.27900000000000003</v>
      </c>
      <c r="I337" s="89">
        <v>6.0999999999999999E-2</v>
      </c>
      <c r="J337" s="89">
        <v>2.5999999999999999E-2</v>
      </c>
      <c r="K337" s="78">
        <f>((1/3)*L326)+((11/3)*L338)</f>
        <v>28634</v>
      </c>
      <c r="L337" s="96"/>
      <c r="M337" s="355">
        <f t="shared" si="36"/>
        <v>0.6</v>
      </c>
      <c r="N337" s="355">
        <v>0.26</v>
      </c>
      <c r="O337" s="355">
        <f t="shared" si="37"/>
        <v>0.61</v>
      </c>
      <c r="P337" s="355">
        <v>0.34620000000000001</v>
      </c>
      <c r="Q337" s="355">
        <v>0.69640000000000002</v>
      </c>
      <c r="R337" s="355">
        <v>0.6</v>
      </c>
      <c r="S337" s="355">
        <v>0.61</v>
      </c>
    </row>
    <row r="338" spans="1:19">
      <c r="A338" s="19">
        <f t="shared" si="40"/>
        <v>47726</v>
      </c>
      <c r="B338" s="19">
        <f t="shared" si="39"/>
        <v>48090</v>
      </c>
      <c r="C338" s="86">
        <f t="shared" si="41"/>
        <v>0.26</v>
      </c>
      <c r="D338" s="86">
        <f t="shared" si="41"/>
        <v>0.27900000000000003</v>
      </c>
      <c r="E338" s="86">
        <f t="shared" si="41"/>
        <v>6.0999999999999999E-2</v>
      </c>
      <c r="F338" s="86">
        <f t="shared" si="41"/>
        <v>2.5999999999999999E-2</v>
      </c>
      <c r="G338" s="87">
        <v>0.26</v>
      </c>
      <c r="H338" s="87">
        <v>0.27900000000000003</v>
      </c>
      <c r="I338" s="87">
        <v>6.0999999999999999E-2</v>
      </c>
      <c r="J338" s="87">
        <v>2.5999999999999999E-2</v>
      </c>
      <c r="K338" s="25">
        <f>(L338*4)</f>
        <v>28748</v>
      </c>
      <c r="L338" s="95">
        <f>L326*1.05</f>
        <v>7187.01</v>
      </c>
      <c r="M338" s="82">
        <f t="shared" si="36"/>
        <v>0.6</v>
      </c>
      <c r="N338" s="82">
        <v>0.26</v>
      </c>
      <c r="O338" s="82">
        <f t="shared" si="37"/>
        <v>0.61</v>
      </c>
      <c r="P338" s="82">
        <v>0.34620000000000001</v>
      </c>
      <c r="Q338" s="82">
        <v>0.69640000000000002</v>
      </c>
      <c r="R338" s="82">
        <v>0.6</v>
      </c>
      <c r="S338" s="82">
        <v>0.61</v>
      </c>
    </row>
    <row r="339" spans="1:19">
      <c r="A339" s="19">
        <f t="shared" si="40"/>
        <v>47756</v>
      </c>
      <c r="B339" s="19">
        <f t="shared" si="39"/>
        <v>48120</v>
      </c>
      <c r="C339" s="86">
        <f t="shared" ref="C339:F354" si="42">AVERAGE(G339:G350)</f>
        <v>0.26</v>
      </c>
      <c r="D339" s="86">
        <f t="shared" si="42"/>
        <v>0.27900000000000003</v>
      </c>
      <c r="E339" s="86">
        <f t="shared" si="42"/>
        <v>6.0999999999999999E-2</v>
      </c>
      <c r="F339" s="86">
        <f t="shared" si="42"/>
        <v>2.5999999999999999E-2</v>
      </c>
      <c r="G339" s="87">
        <v>0.26</v>
      </c>
      <c r="H339" s="87">
        <v>0.27900000000000003</v>
      </c>
      <c r="I339" s="87">
        <v>6.0999999999999999E-2</v>
      </c>
      <c r="J339" s="87">
        <v>2.5999999999999999E-2</v>
      </c>
      <c r="K339" s="25">
        <f>((11/3)*L338)+((1/3)*L350)</f>
        <v>28868</v>
      </c>
      <c r="L339" s="95"/>
      <c r="M339" s="82">
        <f t="shared" si="36"/>
        <v>0.6</v>
      </c>
      <c r="N339" s="82">
        <v>0.26</v>
      </c>
      <c r="O339" s="82">
        <f t="shared" si="37"/>
        <v>0.61</v>
      </c>
      <c r="P339" s="82">
        <v>0.34620000000000001</v>
      </c>
      <c r="Q339" s="82">
        <v>0.69640000000000002</v>
      </c>
      <c r="R339" s="82">
        <v>0.6</v>
      </c>
      <c r="S339" s="82">
        <v>0.61</v>
      </c>
    </row>
    <row r="340" spans="1:19">
      <c r="A340" s="19">
        <f t="shared" si="40"/>
        <v>47787</v>
      </c>
      <c r="B340" s="19">
        <f t="shared" si="39"/>
        <v>48151</v>
      </c>
      <c r="C340" s="86">
        <f t="shared" si="42"/>
        <v>0.26</v>
      </c>
      <c r="D340" s="86">
        <f t="shared" si="42"/>
        <v>0.27900000000000003</v>
      </c>
      <c r="E340" s="86">
        <f t="shared" si="42"/>
        <v>6.0999999999999999E-2</v>
      </c>
      <c r="F340" s="86">
        <f t="shared" si="42"/>
        <v>2.5999999999999999E-2</v>
      </c>
      <c r="G340" s="87">
        <v>0.26</v>
      </c>
      <c r="H340" s="87">
        <v>0.27900000000000003</v>
      </c>
      <c r="I340" s="87">
        <v>6.0999999999999999E-2</v>
      </c>
      <c r="J340" s="87">
        <v>2.5999999999999999E-2</v>
      </c>
      <c r="K340" s="25">
        <f>((10/3)*L338)+((2/3)*L350)</f>
        <v>28988</v>
      </c>
      <c r="L340" s="95"/>
      <c r="M340" s="82">
        <f t="shared" si="36"/>
        <v>0.6</v>
      </c>
      <c r="N340" s="82">
        <v>0.26</v>
      </c>
      <c r="O340" s="82">
        <f t="shared" si="37"/>
        <v>0.61</v>
      </c>
      <c r="P340" s="82">
        <v>0.34620000000000001</v>
      </c>
      <c r="Q340" s="82">
        <v>0.69640000000000002</v>
      </c>
      <c r="R340" s="82">
        <v>0.6</v>
      </c>
      <c r="S340" s="82">
        <v>0.61</v>
      </c>
    </row>
    <row r="341" spans="1:19">
      <c r="A341" s="19">
        <f t="shared" si="40"/>
        <v>47817</v>
      </c>
      <c r="B341" s="19">
        <f t="shared" si="39"/>
        <v>48181</v>
      </c>
      <c r="C341" s="86">
        <f t="shared" si="42"/>
        <v>0.26</v>
      </c>
      <c r="D341" s="86">
        <f t="shared" si="42"/>
        <v>0.27900000000000003</v>
      </c>
      <c r="E341" s="86">
        <f t="shared" si="42"/>
        <v>6.0999999999999999E-2</v>
      </c>
      <c r="F341" s="86">
        <f t="shared" si="42"/>
        <v>2.5999999999999999E-2</v>
      </c>
      <c r="G341" s="87">
        <v>0.26</v>
      </c>
      <c r="H341" s="87">
        <v>0.27900000000000003</v>
      </c>
      <c r="I341" s="87">
        <v>6.0999999999999999E-2</v>
      </c>
      <c r="J341" s="87">
        <v>2.5999999999999999E-2</v>
      </c>
      <c r="K341" s="25">
        <f>((9/3)*L338)+((3/3)*L350)</f>
        <v>29107</v>
      </c>
      <c r="L341" s="95"/>
      <c r="M341" s="82">
        <f t="shared" si="36"/>
        <v>0.6</v>
      </c>
      <c r="N341" s="82">
        <v>0.26</v>
      </c>
      <c r="O341" s="82">
        <f t="shared" si="37"/>
        <v>0.61</v>
      </c>
      <c r="P341" s="82">
        <v>0.34620000000000001</v>
      </c>
      <c r="Q341" s="82">
        <v>0.69640000000000002</v>
      </c>
      <c r="R341" s="82">
        <v>0.6</v>
      </c>
      <c r="S341" s="82">
        <v>0.61</v>
      </c>
    </row>
    <row r="342" spans="1:19">
      <c r="A342" s="19">
        <f t="shared" si="40"/>
        <v>47848</v>
      </c>
      <c r="B342" s="19">
        <f t="shared" si="39"/>
        <v>48212</v>
      </c>
      <c r="C342" s="86">
        <f t="shared" si="42"/>
        <v>0.26</v>
      </c>
      <c r="D342" s="86">
        <f t="shared" si="42"/>
        <v>0.27900000000000003</v>
      </c>
      <c r="E342" s="86">
        <f t="shared" si="42"/>
        <v>6.0999999999999999E-2</v>
      </c>
      <c r="F342" s="86">
        <f t="shared" si="42"/>
        <v>2.5999999999999999E-2</v>
      </c>
      <c r="G342" s="87">
        <v>0.26</v>
      </c>
      <c r="H342" s="87">
        <v>0.27900000000000003</v>
      </c>
      <c r="I342" s="87">
        <v>6.0999999999999999E-2</v>
      </c>
      <c r="J342" s="87">
        <v>2.5999999999999999E-2</v>
      </c>
      <c r="K342" s="25">
        <f>((8/3)*L338)+((4/3)*L350)</f>
        <v>29227</v>
      </c>
      <c r="L342" s="95"/>
      <c r="M342" s="82">
        <f t="shared" si="36"/>
        <v>0.6</v>
      </c>
      <c r="N342" s="82">
        <v>0.26</v>
      </c>
      <c r="O342" s="82">
        <f t="shared" si="37"/>
        <v>0.61</v>
      </c>
      <c r="P342" s="82">
        <v>0.34620000000000001</v>
      </c>
      <c r="Q342" s="82">
        <v>0.69640000000000002</v>
      </c>
      <c r="R342" s="82">
        <v>0.6</v>
      </c>
      <c r="S342" s="82">
        <v>0.61</v>
      </c>
    </row>
    <row r="343" spans="1:19">
      <c r="A343" s="19">
        <f t="shared" si="40"/>
        <v>47879</v>
      </c>
      <c r="B343" s="19">
        <f t="shared" si="39"/>
        <v>48243</v>
      </c>
      <c r="C343" s="86">
        <f t="shared" si="42"/>
        <v>0.26</v>
      </c>
      <c r="D343" s="86">
        <f t="shared" si="42"/>
        <v>0.27900000000000003</v>
      </c>
      <c r="E343" s="86">
        <f t="shared" si="42"/>
        <v>6.0999999999999999E-2</v>
      </c>
      <c r="F343" s="86">
        <f t="shared" si="42"/>
        <v>2.5999999999999999E-2</v>
      </c>
      <c r="G343" s="87">
        <v>0.26</v>
      </c>
      <c r="H343" s="87">
        <v>0.27900000000000003</v>
      </c>
      <c r="I343" s="87">
        <v>6.0999999999999999E-2</v>
      </c>
      <c r="J343" s="87">
        <v>2.5999999999999999E-2</v>
      </c>
      <c r="K343" s="25">
        <f>((7/3)*L338)+((5/3)*L350)</f>
        <v>29347</v>
      </c>
      <c r="L343" s="95"/>
      <c r="M343" s="82">
        <f t="shared" si="36"/>
        <v>0.6</v>
      </c>
      <c r="N343" s="82">
        <v>0.26</v>
      </c>
      <c r="O343" s="82">
        <f t="shared" si="37"/>
        <v>0.61</v>
      </c>
      <c r="P343" s="82">
        <v>0.34620000000000001</v>
      </c>
      <c r="Q343" s="82">
        <v>0.69640000000000002</v>
      </c>
      <c r="R343" s="82">
        <v>0.6</v>
      </c>
      <c r="S343" s="82">
        <v>0.61</v>
      </c>
    </row>
    <row r="344" spans="1:19">
      <c r="A344" s="19">
        <f t="shared" si="40"/>
        <v>47907</v>
      </c>
      <c r="B344" s="19">
        <f t="shared" si="39"/>
        <v>48272</v>
      </c>
      <c r="C344" s="86">
        <f t="shared" si="42"/>
        <v>0.26</v>
      </c>
      <c r="D344" s="86">
        <f t="shared" si="42"/>
        <v>0.27900000000000003</v>
      </c>
      <c r="E344" s="86">
        <f t="shared" si="42"/>
        <v>6.0999999999999999E-2</v>
      </c>
      <c r="F344" s="86">
        <f t="shared" si="42"/>
        <v>2.5999999999999999E-2</v>
      </c>
      <c r="G344" s="87">
        <v>0.26</v>
      </c>
      <c r="H344" s="87">
        <v>0.27900000000000003</v>
      </c>
      <c r="I344" s="87">
        <v>6.0999999999999999E-2</v>
      </c>
      <c r="J344" s="87">
        <v>2.5999999999999999E-2</v>
      </c>
      <c r="K344" s="25">
        <f>((6/3)*L338)+((6/3)*L350)</f>
        <v>29467</v>
      </c>
      <c r="L344" s="95"/>
      <c r="M344" s="82">
        <f t="shared" si="36"/>
        <v>0.6</v>
      </c>
      <c r="N344" s="82">
        <v>0.26</v>
      </c>
      <c r="O344" s="82">
        <f t="shared" si="37"/>
        <v>0.61</v>
      </c>
      <c r="P344" s="82">
        <v>0.34620000000000001</v>
      </c>
      <c r="Q344" s="82">
        <v>0.69640000000000002</v>
      </c>
      <c r="R344" s="82">
        <v>0.6</v>
      </c>
      <c r="S344" s="82">
        <v>0.61</v>
      </c>
    </row>
    <row r="345" spans="1:19">
      <c r="A345" s="19">
        <f t="shared" si="40"/>
        <v>47938</v>
      </c>
      <c r="B345" s="19">
        <f t="shared" si="39"/>
        <v>48303</v>
      </c>
      <c r="C345" s="86">
        <f t="shared" si="42"/>
        <v>0.26</v>
      </c>
      <c r="D345" s="86">
        <f t="shared" si="42"/>
        <v>0.27900000000000003</v>
      </c>
      <c r="E345" s="86">
        <f t="shared" si="42"/>
        <v>6.0999999999999999E-2</v>
      </c>
      <c r="F345" s="86">
        <f t="shared" si="42"/>
        <v>2.5999999999999999E-2</v>
      </c>
      <c r="G345" s="87">
        <v>0.26</v>
      </c>
      <c r="H345" s="87">
        <v>0.27900000000000003</v>
      </c>
      <c r="I345" s="87">
        <v>6.0999999999999999E-2</v>
      </c>
      <c r="J345" s="87">
        <v>2.5999999999999999E-2</v>
      </c>
      <c r="K345" s="25">
        <f>((5/3)*L338)+((7/3)*L350)</f>
        <v>29587</v>
      </c>
      <c r="L345" s="95"/>
      <c r="M345" s="82">
        <f t="shared" si="36"/>
        <v>0.6</v>
      </c>
      <c r="N345" s="82">
        <v>0.26</v>
      </c>
      <c r="O345" s="82">
        <f t="shared" si="37"/>
        <v>0.61</v>
      </c>
      <c r="P345" s="82">
        <v>0.34620000000000001</v>
      </c>
      <c r="Q345" s="82">
        <v>0.69640000000000002</v>
      </c>
      <c r="R345" s="82">
        <v>0.6</v>
      </c>
      <c r="S345" s="82">
        <v>0.61</v>
      </c>
    </row>
    <row r="346" spans="1:19">
      <c r="A346" s="19">
        <f t="shared" si="40"/>
        <v>47968</v>
      </c>
      <c r="B346" s="19">
        <f t="shared" si="39"/>
        <v>48333</v>
      </c>
      <c r="C346" s="86">
        <f t="shared" si="42"/>
        <v>0.26</v>
      </c>
      <c r="D346" s="86">
        <f t="shared" si="42"/>
        <v>0.27900000000000003</v>
      </c>
      <c r="E346" s="86">
        <f t="shared" si="42"/>
        <v>6.0999999999999999E-2</v>
      </c>
      <c r="F346" s="86">
        <f t="shared" si="42"/>
        <v>2.5999999999999999E-2</v>
      </c>
      <c r="G346" s="87">
        <v>0.26</v>
      </c>
      <c r="H346" s="87">
        <v>0.27900000000000003</v>
      </c>
      <c r="I346" s="87">
        <v>6.0999999999999999E-2</v>
      </c>
      <c r="J346" s="87">
        <v>2.5999999999999999E-2</v>
      </c>
      <c r="K346" s="25">
        <f>((4/3)*L338)+((8/3)*L350)</f>
        <v>29706</v>
      </c>
      <c r="L346" s="95"/>
      <c r="M346" s="82">
        <f t="shared" si="36"/>
        <v>0.6</v>
      </c>
      <c r="N346" s="82">
        <v>0.26</v>
      </c>
      <c r="O346" s="82">
        <f t="shared" si="37"/>
        <v>0.61</v>
      </c>
      <c r="P346" s="82">
        <v>0.34620000000000001</v>
      </c>
      <c r="Q346" s="82">
        <v>0.69640000000000002</v>
      </c>
      <c r="R346" s="82">
        <v>0.6</v>
      </c>
      <c r="S346" s="82">
        <v>0.61</v>
      </c>
    </row>
    <row r="347" spans="1:19">
      <c r="A347" s="19">
        <f t="shared" si="40"/>
        <v>47999</v>
      </c>
      <c r="B347" s="19">
        <f t="shared" si="39"/>
        <v>48364</v>
      </c>
      <c r="C347" s="86">
        <f t="shared" si="42"/>
        <v>0.26</v>
      </c>
      <c r="D347" s="86">
        <f t="shared" si="42"/>
        <v>0.27900000000000003</v>
      </c>
      <c r="E347" s="86">
        <f t="shared" si="42"/>
        <v>6.0999999999999999E-2</v>
      </c>
      <c r="F347" s="86">
        <f t="shared" si="42"/>
        <v>2.5999999999999999E-2</v>
      </c>
      <c r="G347" s="87">
        <v>0.26</v>
      </c>
      <c r="H347" s="87">
        <v>0.27900000000000003</v>
      </c>
      <c r="I347" s="87">
        <v>6.0999999999999999E-2</v>
      </c>
      <c r="J347" s="87">
        <v>2.5999999999999999E-2</v>
      </c>
      <c r="K347" s="25">
        <f>((3/3)*L338)+((9/3)*L350)</f>
        <v>29826</v>
      </c>
      <c r="L347" s="95"/>
      <c r="M347" s="82">
        <f t="shared" si="36"/>
        <v>0.6</v>
      </c>
      <c r="N347" s="82">
        <v>0.26</v>
      </c>
      <c r="O347" s="82">
        <f t="shared" si="37"/>
        <v>0.61</v>
      </c>
      <c r="P347" s="82">
        <v>0.34620000000000001</v>
      </c>
      <c r="Q347" s="82">
        <v>0.69640000000000002</v>
      </c>
      <c r="R347" s="82">
        <v>0.6</v>
      </c>
      <c r="S347" s="82">
        <v>0.61</v>
      </c>
    </row>
    <row r="348" spans="1:19">
      <c r="A348" s="19">
        <f t="shared" si="40"/>
        <v>48029</v>
      </c>
      <c r="B348" s="19">
        <f t="shared" si="39"/>
        <v>48394</v>
      </c>
      <c r="C348" s="86">
        <f t="shared" si="42"/>
        <v>0.26</v>
      </c>
      <c r="D348" s="86">
        <f t="shared" si="42"/>
        <v>0.27900000000000003</v>
      </c>
      <c r="E348" s="86">
        <f t="shared" si="42"/>
        <v>6.0999999999999999E-2</v>
      </c>
      <c r="F348" s="86">
        <f t="shared" si="42"/>
        <v>2.5999999999999999E-2</v>
      </c>
      <c r="G348" s="87">
        <v>0.26</v>
      </c>
      <c r="H348" s="87">
        <v>0.27900000000000003</v>
      </c>
      <c r="I348" s="87">
        <v>6.0999999999999999E-2</v>
      </c>
      <c r="J348" s="87">
        <v>2.5999999999999999E-2</v>
      </c>
      <c r="K348" s="25">
        <f>((2/3)*L338)+((10/3)*L350)</f>
        <v>29946</v>
      </c>
      <c r="L348" s="95"/>
      <c r="M348" s="82">
        <f t="shared" si="36"/>
        <v>0.6</v>
      </c>
      <c r="N348" s="82">
        <v>0.26</v>
      </c>
      <c r="O348" s="82">
        <f t="shared" si="37"/>
        <v>0.61</v>
      </c>
      <c r="P348" s="82">
        <v>0.34620000000000001</v>
      </c>
      <c r="Q348" s="82">
        <v>0.69640000000000002</v>
      </c>
      <c r="R348" s="82">
        <v>0.6</v>
      </c>
      <c r="S348" s="82">
        <v>0.61</v>
      </c>
    </row>
    <row r="349" spans="1:19">
      <c r="A349" s="19">
        <f t="shared" si="40"/>
        <v>48060</v>
      </c>
      <c r="B349" s="19">
        <f t="shared" si="39"/>
        <v>48425</v>
      </c>
      <c r="C349" s="83">
        <f t="shared" si="42"/>
        <v>0.26</v>
      </c>
      <c r="D349" s="83">
        <f t="shared" si="42"/>
        <v>0.27900000000000003</v>
      </c>
      <c r="E349" s="83">
        <f t="shared" si="42"/>
        <v>6.0999999999999999E-2</v>
      </c>
      <c r="F349" s="83">
        <f t="shared" si="42"/>
        <v>2.5999999999999999E-2</v>
      </c>
      <c r="G349" s="87">
        <v>0.26</v>
      </c>
      <c r="H349" s="87">
        <v>0.27900000000000003</v>
      </c>
      <c r="I349" s="87">
        <v>6.0999999999999999E-2</v>
      </c>
      <c r="J349" s="87">
        <v>2.5999999999999999E-2</v>
      </c>
      <c r="K349" s="25">
        <f>((1/3)*L338)+((11/3)*L350)</f>
        <v>30066</v>
      </c>
      <c r="L349" s="95"/>
      <c r="M349" s="82">
        <f t="shared" si="36"/>
        <v>0.6</v>
      </c>
      <c r="N349" s="82">
        <v>0.26</v>
      </c>
      <c r="O349" s="82">
        <f t="shared" si="37"/>
        <v>0.61</v>
      </c>
      <c r="P349" s="82">
        <v>0.34620000000000001</v>
      </c>
      <c r="Q349" s="82">
        <v>0.69640000000000002</v>
      </c>
      <c r="R349" s="82">
        <v>0.6</v>
      </c>
      <c r="S349" s="82">
        <v>0.61</v>
      </c>
    </row>
    <row r="350" spans="1:19" s="80" customFormat="1">
      <c r="A350" s="79">
        <f t="shared" si="40"/>
        <v>48091</v>
      </c>
      <c r="B350" s="79">
        <f t="shared" si="39"/>
        <v>48456</v>
      </c>
      <c r="C350" s="88">
        <f t="shared" si="42"/>
        <v>0.26</v>
      </c>
      <c r="D350" s="88">
        <f t="shared" si="42"/>
        <v>0.27900000000000003</v>
      </c>
      <c r="E350" s="88">
        <f t="shared" si="42"/>
        <v>6.0999999999999999E-2</v>
      </c>
      <c r="F350" s="88">
        <f t="shared" si="42"/>
        <v>2.5999999999999999E-2</v>
      </c>
      <c r="G350" s="89">
        <v>0.26</v>
      </c>
      <c r="H350" s="89">
        <v>0.27900000000000003</v>
      </c>
      <c r="I350" s="89">
        <v>6.0999999999999999E-2</v>
      </c>
      <c r="J350" s="89">
        <v>2.5999999999999999E-2</v>
      </c>
      <c r="K350" s="78">
        <f>(L350*4)</f>
        <v>30185</v>
      </c>
      <c r="L350" s="96">
        <f>L338*1.05</f>
        <v>7546.36</v>
      </c>
      <c r="M350" s="355">
        <f t="shared" si="36"/>
        <v>0.6</v>
      </c>
      <c r="N350" s="355">
        <v>0.26</v>
      </c>
      <c r="O350" s="355">
        <f t="shared" si="37"/>
        <v>0.61</v>
      </c>
      <c r="P350" s="355">
        <v>0.34620000000000001</v>
      </c>
      <c r="Q350" s="355">
        <v>0.69640000000000002</v>
      </c>
      <c r="R350" s="355">
        <v>0.6</v>
      </c>
      <c r="S350" s="355">
        <v>0.61</v>
      </c>
    </row>
    <row r="351" spans="1:19" s="80" customFormat="1">
      <c r="A351" s="79">
        <f t="shared" si="40"/>
        <v>48121</v>
      </c>
      <c r="B351" s="79">
        <f t="shared" si="39"/>
        <v>48486</v>
      </c>
      <c r="C351" s="88">
        <f t="shared" si="42"/>
        <v>0.26</v>
      </c>
      <c r="D351" s="88">
        <f t="shared" si="42"/>
        <v>0.27900000000000003</v>
      </c>
      <c r="E351" s="88">
        <f t="shared" si="42"/>
        <v>6.0999999999999999E-2</v>
      </c>
      <c r="F351" s="88">
        <f t="shared" si="42"/>
        <v>2.5999999999999999E-2</v>
      </c>
      <c r="G351" s="89">
        <v>0.26</v>
      </c>
      <c r="H351" s="89">
        <v>0.27900000000000003</v>
      </c>
      <c r="I351" s="89">
        <v>6.0999999999999999E-2</v>
      </c>
      <c r="J351" s="89">
        <v>2.5999999999999999E-2</v>
      </c>
      <c r="K351" s="78">
        <f>((11/3)*L350)+((1/3)*L362)</f>
        <v>30311</v>
      </c>
      <c r="L351" s="96"/>
      <c r="M351" s="355">
        <f t="shared" si="36"/>
        <v>0.6</v>
      </c>
      <c r="N351" s="355">
        <v>0.26</v>
      </c>
      <c r="O351" s="355">
        <f t="shared" si="37"/>
        <v>0.61</v>
      </c>
      <c r="P351" s="355">
        <v>0.34620000000000001</v>
      </c>
      <c r="Q351" s="355">
        <v>0.69640000000000002</v>
      </c>
      <c r="R351" s="355">
        <v>0.6</v>
      </c>
      <c r="S351" s="355">
        <v>0.61</v>
      </c>
    </row>
    <row r="352" spans="1:19" s="80" customFormat="1">
      <c r="A352" s="79">
        <f t="shared" si="40"/>
        <v>48152</v>
      </c>
      <c r="B352" s="79">
        <f t="shared" si="39"/>
        <v>48517</v>
      </c>
      <c r="C352" s="88">
        <f t="shared" si="42"/>
        <v>0.26</v>
      </c>
      <c r="D352" s="88">
        <f t="shared" si="42"/>
        <v>0.27900000000000003</v>
      </c>
      <c r="E352" s="88">
        <f t="shared" si="42"/>
        <v>6.0999999999999999E-2</v>
      </c>
      <c r="F352" s="88">
        <f t="shared" si="42"/>
        <v>2.5999999999999999E-2</v>
      </c>
      <c r="G352" s="89">
        <v>0.26</v>
      </c>
      <c r="H352" s="89">
        <v>0.27900000000000003</v>
      </c>
      <c r="I352" s="89">
        <v>6.0999999999999999E-2</v>
      </c>
      <c r="J352" s="89">
        <v>2.5999999999999999E-2</v>
      </c>
      <c r="K352" s="78">
        <f>((10/3)*L350)+((2/3)*L362)</f>
        <v>30437</v>
      </c>
      <c r="L352" s="96"/>
      <c r="M352" s="355">
        <f t="shared" si="36"/>
        <v>0.6</v>
      </c>
      <c r="N352" s="355">
        <v>0.26</v>
      </c>
      <c r="O352" s="355">
        <f t="shared" si="37"/>
        <v>0.61</v>
      </c>
      <c r="P352" s="355">
        <v>0.34620000000000001</v>
      </c>
      <c r="Q352" s="355">
        <v>0.69640000000000002</v>
      </c>
      <c r="R352" s="355">
        <v>0.6</v>
      </c>
      <c r="S352" s="355">
        <v>0.61</v>
      </c>
    </row>
    <row r="353" spans="1:19" s="80" customFormat="1">
      <c r="A353" s="79">
        <f t="shared" si="40"/>
        <v>48182</v>
      </c>
      <c r="B353" s="79">
        <f t="shared" si="39"/>
        <v>48547</v>
      </c>
      <c r="C353" s="88">
        <f t="shared" si="42"/>
        <v>0.26</v>
      </c>
      <c r="D353" s="88">
        <f t="shared" si="42"/>
        <v>0.27900000000000003</v>
      </c>
      <c r="E353" s="88">
        <f t="shared" si="42"/>
        <v>6.0999999999999999E-2</v>
      </c>
      <c r="F353" s="88">
        <f t="shared" si="42"/>
        <v>2.5999999999999999E-2</v>
      </c>
      <c r="G353" s="89">
        <v>0.26</v>
      </c>
      <c r="H353" s="89">
        <v>0.27900000000000003</v>
      </c>
      <c r="I353" s="89">
        <v>6.0999999999999999E-2</v>
      </c>
      <c r="J353" s="89">
        <v>2.5999999999999999E-2</v>
      </c>
      <c r="K353" s="78">
        <f>((9/3)*L350)+((3/3)*L362)</f>
        <v>30563</v>
      </c>
      <c r="L353" s="96"/>
      <c r="M353" s="355">
        <f t="shared" si="36"/>
        <v>0.6</v>
      </c>
      <c r="N353" s="355">
        <v>0.26</v>
      </c>
      <c r="O353" s="355">
        <f t="shared" si="37"/>
        <v>0.61</v>
      </c>
      <c r="P353" s="355">
        <v>0.34620000000000001</v>
      </c>
      <c r="Q353" s="355">
        <v>0.69640000000000002</v>
      </c>
      <c r="R353" s="355">
        <v>0.6</v>
      </c>
      <c r="S353" s="355">
        <v>0.61</v>
      </c>
    </row>
    <row r="354" spans="1:19" s="80" customFormat="1">
      <c r="A354" s="79">
        <f t="shared" si="40"/>
        <v>48213</v>
      </c>
      <c r="B354" s="79">
        <f t="shared" si="39"/>
        <v>48578</v>
      </c>
      <c r="C354" s="88">
        <f t="shared" si="42"/>
        <v>0.26</v>
      </c>
      <c r="D354" s="88">
        <f t="shared" si="42"/>
        <v>0.27900000000000003</v>
      </c>
      <c r="E354" s="88">
        <f t="shared" si="42"/>
        <v>6.0999999999999999E-2</v>
      </c>
      <c r="F354" s="88">
        <f t="shared" si="42"/>
        <v>2.5999999999999999E-2</v>
      </c>
      <c r="G354" s="89">
        <v>0.26</v>
      </c>
      <c r="H354" s="89">
        <v>0.27900000000000003</v>
      </c>
      <c r="I354" s="89">
        <v>6.0999999999999999E-2</v>
      </c>
      <c r="J354" s="89">
        <v>2.5999999999999999E-2</v>
      </c>
      <c r="K354" s="78">
        <f>((8/3)*L350)+((4/3)*L362)</f>
        <v>30689</v>
      </c>
      <c r="L354" s="96"/>
      <c r="M354" s="355">
        <f t="shared" si="36"/>
        <v>0.6</v>
      </c>
      <c r="N354" s="355">
        <v>0.26</v>
      </c>
      <c r="O354" s="355">
        <f t="shared" si="37"/>
        <v>0.61</v>
      </c>
      <c r="P354" s="355">
        <v>0.34620000000000001</v>
      </c>
      <c r="Q354" s="355">
        <v>0.69640000000000002</v>
      </c>
      <c r="R354" s="355">
        <v>0.6</v>
      </c>
      <c r="S354" s="355">
        <v>0.61</v>
      </c>
    </row>
    <row r="355" spans="1:19" s="80" customFormat="1">
      <c r="A355" s="79">
        <f t="shared" si="40"/>
        <v>48244</v>
      </c>
      <c r="B355" s="79">
        <f t="shared" si="39"/>
        <v>48609</v>
      </c>
      <c r="C355" s="88">
        <f t="shared" ref="C355:F370" si="43">AVERAGE(G355:G366)</f>
        <v>0.26</v>
      </c>
      <c r="D355" s="88">
        <f t="shared" si="43"/>
        <v>0.27900000000000003</v>
      </c>
      <c r="E355" s="88">
        <f t="shared" si="43"/>
        <v>6.0999999999999999E-2</v>
      </c>
      <c r="F355" s="88">
        <f t="shared" si="43"/>
        <v>2.5999999999999999E-2</v>
      </c>
      <c r="G355" s="89">
        <v>0.26</v>
      </c>
      <c r="H355" s="89">
        <v>0.27900000000000003</v>
      </c>
      <c r="I355" s="89">
        <v>6.0999999999999999E-2</v>
      </c>
      <c r="J355" s="89">
        <v>2.5999999999999999E-2</v>
      </c>
      <c r="K355" s="78">
        <f>((7/3)*L350)+((5/3)*L362)</f>
        <v>30814</v>
      </c>
      <c r="L355" s="96"/>
      <c r="M355" s="355">
        <f t="shared" si="36"/>
        <v>0.6</v>
      </c>
      <c r="N355" s="355">
        <v>0.26</v>
      </c>
      <c r="O355" s="355">
        <f t="shared" si="37"/>
        <v>0.61</v>
      </c>
      <c r="P355" s="355">
        <v>0.34620000000000001</v>
      </c>
      <c r="Q355" s="355">
        <v>0.69640000000000002</v>
      </c>
      <c r="R355" s="355">
        <v>0.6</v>
      </c>
      <c r="S355" s="355">
        <v>0.61</v>
      </c>
    </row>
    <row r="356" spans="1:19" s="80" customFormat="1">
      <c r="A356" s="79">
        <f t="shared" si="40"/>
        <v>48273</v>
      </c>
      <c r="B356" s="79">
        <f t="shared" si="39"/>
        <v>48637</v>
      </c>
      <c r="C356" s="88">
        <f t="shared" si="43"/>
        <v>0.26</v>
      </c>
      <c r="D356" s="88">
        <f t="shared" si="43"/>
        <v>0.27900000000000003</v>
      </c>
      <c r="E356" s="88">
        <f t="shared" si="43"/>
        <v>6.0999999999999999E-2</v>
      </c>
      <c r="F356" s="88">
        <f t="shared" si="43"/>
        <v>2.5999999999999999E-2</v>
      </c>
      <c r="G356" s="89">
        <v>0.26</v>
      </c>
      <c r="H356" s="89">
        <v>0.27900000000000003</v>
      </c>
      <c r="I356" s="89">
        <v>6.0999999999999999E-2</v>
      </c>
      <c r="J356" s="89">
        <v>2.5999999999999999E-2</v>
      </c>
      <c r="K356" s="78">
        <f>((6/3)*L350)+((6/3)*L362)</f>
        <v>30940</v>
      </c>
      <c r="L356" s="96"/>
      <c r="M356" s="355">
        <f t="shared" si="36"/>
        <v>0.6</v>
      </c>
      <c r="N356" s="355">
        <v>0.26</v>
      </c>
      <c r="O356" s="355">
        <f t="shared" si="37"/>
        <v>0.61</v>
      </c>
      <c r="P356" s="355">
        <v>0.34620000000000001</v>
      </c>
      <c r="Q356" s="355">
        <v>0.69640000000000002</v>
      </c>
      <c r="R356" s="355">
        <v>0.6</v>
      </c>
      <c r="S356" s="355">
        <v>0.61</v>
      </c>
    </row>
    <row r="357" spans="1:19" s="80" customFormat="1">
      <c r="A357" s="79">
        <f t="shared" si="40"/>
        <v>48304</v>
      </c>
      <c r="B357" s="79">
        <f t="shared" si="39"/>
        <v>48668</v>
      </c>
      <c r="C357" s="88">
        <f t="shared" si="43"/>
        <v>0.26</v>
      </c>
      <c r="D357" s="88">
        <f t="shared" si="43"/>
        <v>0.27900000000000003</v>
      </c>
      <c r="E357" s="88">
        <f t="shared" si="43"/>
        <v>6.0999999999999999E-2</v>
      </c>
      <c r="F357" s="88">
        <f t="shared" si="43"/>
        <v>2.5999999999999999E-2</v>
      </c>
      <c r="G357" s="89">
        <v>0.26</v>
      </c>
      <c r="H357" s="89">
        <v>0.27900000000000003</v>
      </c>
      <c r="I357" s="89">
        <v>6.0999999999999999E-2</v>
      </c>
      <c r="J357" s="89">
        <v>2.5999999999999999E-2</v>
      </c>
      <c r="K357" s="78">
        <f>((5/3)*L350)+((7/3)*L362)</f>
        <v>31066</v>
      </c>
      <c r="L357" s="96"/>
      <c r="M357" s="355">
        <f t="shared" si="36"/>
        <v>0.6</v>
      </c>
      <c r="N357" s="355">
        <v>0.26</v>
      </c>
      <c r="O357" s="355">
        <f t="shared" si="37"/>
        <v>0.61</v>
      </c>
      <c r="P357" s="355">
        <v>0.34620000000000001</v>
      </c>
      <c r="Q357" s="355">
        <v>0.69640000000000002</v>
      </c>
      <c r="R357" s="355">
        <v>0.6</v>
      </c>
      <c r="S357" s="355">
        <v>0.61</v>
      </c>
    </row>
    <row r="358" spans="1:19" s="80" customFormat="1">
      <c r="A358" s="79">
        <f t="shared" si="40"/>
        <v>48334</v>
      </c>
      <c r="B358" s="79">
        <f t="shared" si="39"/>
        <v>48698</v>
      </c>
      <c r="C358" s="88">
        <f t="shared" si="43"/>
        <v>0.26</v>
      </c>
      <c r="D358" s="88">
        <f t="shared" si="43"/>
        <v>0.27900000000000003</v>
      </c>
      <c r="E358" s="88">
        <f t="shared" si="43"/>
        <v>6.0999999999999999E-2</v>
      </c>
      <c r="F358" s="88">
        <f t="shared" si="43"/>
        <v>2.5999999999999999E-2</v>
      </c>
      <c r="G358" s="89">
        <v>0.26</v>
      </c>
      <c r="H358" s="89">
        <v>0.27900000000000003</v>
      </c>
      <c r="I358" s="89">
        <v>6.0999999999999999E-2</v>
      </c>
      <c r="J358" s="89">
        <v>2.5999999999999999E-2</v>
      </c>
      <c r="K358" s="78">
        <f>((4/3)*L350)+((8/3)*L362)</f>
        <v>31192</v>
      </c>
      <c r="L358" s="96"/>
      <c r="M358" s="355">
        <f t="shared" si="36"/>
        <v>0.6</v>
      </c>
      <c r="N358" s="355">
        <v>0.26</v>
      </c>
      <c r="O358" s="355">
        <f t="shared" si="37"/>
        <v>0.61</v>
      </c>
      <c r="P358" s="355">
        <v>0.34620000000000001</v>
      </c>
      <c r="Q358" s="355">
        <v>0.69640000000000002</v>
      </c>
      <c r="R358" s="355">
        <v>0.6</v>
      </c>
      <c r="S358" s="355">
        <v>0.61</v>
      </c>
    </row>
    <row r="359" spans="1:19" s="80" customFormat="1">
      <c r="A359" s="79">
        <f t="shared" si="40"/>
        <v>48365</v>
      </c>
      <c r="B359" s="79">
        <f t="shared" si="39"/>
        <v>48729</v>
      </c>
      <c r="C359" s="88">
        <f t="shared" si="43"/>
        <v>0.26</v>
      </c>
      <c r="D359" s="88">
        <f t="shared" si="43"/>
        <v>0.27900000000000003</v>
      </c>
      <c r="E359" s="88">
        <f t="shared" si="43"/>
        <v>6.0999999999999999E-2</v>
      </c>
      <c r="F359" s="88">
        <f t="shared" si="43"/>
        <v>2.5999999999999999E-2</v>
      </c>
      <c r="G359" s="89">
        <v>0.26</v>
      </c>
      <c r="H359" s="89">
        <v>0.27900000000000003</v>
      </c>
      <c r="I359" s="89">
        <v>6.0999999999999999E-2</v>
      </c>
      <c r="J359" s="89">
        <v>2.5999999999999999E-2</v>
      </c>
      <c r="K359" s="78">
        <f>((3/3)*L350)+((9/3)*L362)</f>
        <v>31317</v>
      </c>
      <c r="L359" s="96"/>
      <c r="M359" s="355">
        <f t="shared" si="36"/>
        <v>0.6</v>
      </c>
      <c r="N359" s="355">
        <v>0.26</v>
      </c>
      <c r="O359" s="355">
        <f t="shared" si="37"/>
        <v>0.61</v>
      </c>
      <c r="P359" s="355">
        <v>0.34620000000000001</v>
      </c>
      <c r="Q359" s="355">
        <v>0.69640000000000002</v>
      </c>
      <c r="R359" s="355">
        <v>0.6</v>
      </c>
      <c r="S359" s="355">
        <v>0.61</v>
      </c>
    </row>
    <row r="360" spans="1:19" s="80" customFormat="1">
      <c r="A360" s="79">
        <f t="shared" si="40"/>
        <v>48395</v>
      </c>
      <c r="B360" s="79">
        <f t="shared" si="39"/>
        <v>48759</v>
      </c>
      <c r="C360" s="88">
        <f t="shared" si="43"/>
        <v>0.26</v>
      </c>
      <c r="D360" s="88">
        <f t="shared" si="43"/>
        <v>0.27900000000000003</v>
      </c>
      <c r="E360" s="88">
        <f t="shared" si="43"/>
        <v>6.0999999999999999E-2</v>
      </c>
      <c r="F360" s="88">
        <f t="shared" si="43"/>
        <v>2.5999999999999999E-2</v>
      </c>
      <c r="G360" s="89">
        <v>0.26</v>
      </c>
      <c r="H360" s="89">
        <v>0.27900000000000003</v>
      </c>
      <c r="I360" s="89">
        <v>6.0999999999999999E-2</v>
      </c>
      <c r="J360" s="89">
        <v>2.5999999999999999E-2</v>
      </c>
      <c r="K360" s="78">
        <f>((2/3)*L350)+((10/3)*L362)</f>
        <v>31443</v>
      </c>
      <c r="L360" s="96"/>
      <c r="M360" s="355">
        <f t="shared" si="36"/>
        <v>0.6</v>
      </c>
      <c r="N360" s="355">
        <v>0.26</v>
      </c>
      <c r="O360" s="355">
        <f t="shared" si="37"/>
        <v>0.61</v>
      </c>
      <c r="P360" s="355">
        <v>0.34620000000000001</v>
      </c>
      <c r="Q360" s="355">
        <v>0.69640000000000002</v>
      </c>
      <c r="R360" s="355">
        <v>0.6</v>
      </c>
      <c r="S360" s="355">
        <v>0.61</v>
      </c>
    </row>
    <row r="361" spans="1:19" s="80" customFormat="1">
      <c r="A361" s="79">
        <f t="shared" si="40"/>
        <v>48426</v>
      </c>
      <c r="B361" s="79">
        <f t="shared" si="39"/>
        <v>48790</v>
      </c>
      <c r="C361" s="88">
        <f t="shared" si="43"/>
        <v>0.26</v>
      </c>
      <c r="D361" s="88">
        <f t="shared" si="43"/>
        <v>0.27900000000000003</v>
      </c>
      <c r="E361" s="88">
        <f t="shared" si="43"/>
        <v>6.0999999999999999E-2</v>
      </c>
      <c r="F361" s="88">
        <f t="shared" si="43"/>
        <v>2.5999999999999999E-2</v>
      </c>
      <c r="G361" s="89">
        <v>0.26</v>
      </c>
      <c r="H361" s="89">
        <v>0.27900000000000003</v>
      </c>
      <c r="I361" s="89">
        <v>6.0999999999999999E-2</v>
      </c>
      <c r="J361" s="89">
        <v>2.5999999999999999E-2</v>
      </c>
      <c r="K361" s="78">
        <f>((1/3)*L350)+((11/3)*L362)</f>
        <v>31569</v>
      </c>
      <c r="L361" s="96"/>
      <c r="M361" s="355">
        <f t="shared" si="36"/>
        <v>0.6</v>
      </c>
      <c r="N361" s="355">
        <v>0.26</v>
      </c>
      <c r="O361" s="355">
        <f t="shared" si="37"/>
        <v>0.61</v>
      </c>
      <c r="P361" s="355">
        <v>0.34620000000000001</v>
      </c>
      <c r="Q361" s="355">
        <v>0.69640000000000002</v>
      </c>
      <c r="R361" s="355">
        <v>0.6</v>
      </c>
      <c r="S361" s="355">
        <v>0.61</v>
      </c>
    </row>
    <row r="362" spans="1:19">
      <c r="A362" s="19">
        <f t="shared" si="40"/>
        <v>48457</v>
      </c>
      <c r="B362" s="19">
        <f t="shared" si="39"/>
        <v>48821</v>
      </c>
      <c r="C362" s="86">
        <f t="shared" si="43"/>
        <v>0.26</v>
      </c>
      <c r="D362" s="86">
        <f t="shared" si="43"/>
        <v>0.27900000000000003</v>
      </c>
      <c r="E362" s="86">
        <f t="shared" si="43"/>
        <v>6.0999999999999999E-2</v>
      </c>
      <c r="F362" s="86">
        <f t="shared" si="43"/>
        <v>2.5999999999999999E-2</v>
      </c>
      <c r="G362" s="87">
        <v>0.26</v>
      </c>
      <c r="H362" s="87">
        <v>0.27900000000000003</v>
      </c>
      <c r="I362" s="87">
        <v>6.0999999999999999E-2</v>
      </c>
      <c r="J362" s="87">
        <v>2.5999999999999999E-2</v>
      </c>
      <c r="K362" s="25">
        <f>(L362*4)</f>
        <v>31695</v>
      </c>
      <c r="L362" s="95">
        <f>L350*1.05</f>
        <v>7923.68</v>
      </c>
      <c r="M362" s="82">
        <f t="shared" si="36"/>
        <v>0.6</v>
      </c>
      <c r="N362" s="82">
        <v>0.26</v>
      </c>
      <c r="O362" s="82">
        <f t="shared" si="37"/>
        <v>0.61</v>
      </c>
      <c r="P362" s="82">
        <v>0.34620000000000001</v>
      </c>
      <c r="Q362" s="82">
        <v>0.69640000000000002</v>
      </c>
      <c r="R362" s="82">
        <v>0.6</v>
      </c>
      <c r="S362" s="82">
        <v>0.61</v>
      </c>
    </row>
    <row r="363" spans="1:19">
      <c r="A363" s="19">
        <f t="shared" si="40"/>
        <v>48487</v>
      </c>
      <c r="B363" s="19">
        <f t="shared" si="39"/>
        <v>48851</v>
      </c>
      <c r="C363" s="86">
        <f t="shared" si="43"/>
        <v>0.26</v>
      </c>
      <c r="D363" s="86">
        <f t="shared" si="43"/>
        <v>0.27900000000000003</v>
      </c>
      <c r="E363" s="86">
        <f t="shared" si="43"/>
        <v>6.0999999999999999E-2</v>
      </c>
      <c r="F363" s="86">
        <f t="shared" si="43"/>
        <v>2.5999999999999999E-2</v>
      </c>
      <c r="G363" s="87">
        <v>0.26</v>
      </c>
      <c r="H363" s="87">
        <v>0.27900000000000003</v>
      </c>
      <c r="I363" s="87">
        <v>6.0999999999999999E-2</v>
      </c>
      <c r="J363" s="87">
        <v>2.5999999999999999E-2</v>
      </c>
      <c r="K363" s="25">
        <f>((11/3)*L362)+((1/3)*L374)</f>
        <v>31827</v>
      </c>
      <c r="L363" s="95"/>
      <c r="M363" s="82">
        <f t="shared" si="36"/>
        <v>0.6</v>
      </c>
      <c r="N363" s="82">
        <v>0.26</v>
      </c>
      <c r="O363" s="82">
        <f t="shared" si="37"/>
        <v>0.61</v>
      </c>
      <c r="P363" s="82">
        <v>0.34620000000000001</v>
      </c>
      <c r="Q363" s="82">
        <v>0.69640000000000002</v>
      </c>
      <c r="R363" s="82">
        <v>0.6</v>
      </c>
      <c r="S363" s="82">
        <v>0.61</v>
      </c>
    </row>
    <row r="364" spans="1:19">
      <c r="A364" s="19">
        <f t="shared" si="40"/>
        <v>48518</v>
      </c>
      <c r="B364" s="19">
        <f t="shared" si="39"/>
        <v>48882</v>
      </c>
      <c r="C364" s="86">
        <f t="shared" si="43"/>
        <v>0.26</v>
      </c>
      <c r="D364" s="86">
        <f t="shared" si="43"/>
        <v>0.27900000000000003</v>
      </c>
      <c r="E364" s="86">
        <f t="shared" si="43"/>
        <v>6.0999999999999999E-2</v>
      </c>
      <c r="F364" s="86">
        <f t="shared" si="43"/>
        <v>2.5999999999999999E-2</v>
      </c>
      <c r="G364" s="87">
        <v>0.26</v>
      </c>
      <c r="H364" s="87">
        <v>0.27900000000000003</v>
      </c>
      <c r="I364" s="87">
        <v>6.0999999999999999E-2</v>
      </c>
      <c r="J364" s="87">
        <v>2.5999999999999999E-2</v>
      </c>
      <c r="K364" s="25">
        <f>((10/3)*L362)+((2/3)*L374)</f>
        <v>31959</v>
      </c>
      <c r="L364" s="95"/>
      <c r="M364" s="82">
        <f t="shared" si="36"/>
        <v>0.6</v>
      </c>
      <c r="N364" s="82">
        <v>0.26</v>
      </c>
      <c r="O364" s="82">
        <f t="shared" si="37"/>
        <v>0.61</v>
      </c>
      <c r="P364" s="82">
        <v>0.34620000000000001</v>
      </c>
      <c r="Q364" s="82">
        <v>0.69640000000000002</v>
      </c>
      <c r="R364" s="82">
        <v>0.6</v>
      </c>
      <c r="S364" s="82">
        <v>0.61</v>
      </c>
    </row>
    <row r="365" spans="1:19">
      <c r="A365" s="19">
        <f t="shared" si="40"/>
        <v>48548</v>
      </c>
      <c r="B365" s="19">
        <f t="shared" si="39"/>
        <v>48912</v>
      </c>
      <c r="C365" s="86">
        <f t="shared" si="43"/>
        <v>0.26</v>
      </c>
      <c r="D365" s="86">
        <f t="shared" si="43"/>
        <v>0.27900000000000003</v>
      </c>
      <c r="E365" s="86">
        <f t="shared" si="43"/>
        <v>6.0999999999999999E-2</v>
      </c>
      <c r="F365" s="86">
        <f t="shared" si="43"/>
        <v>2.5999999999999999E-2</v>
      </c>
      <c r="G365" s="87">
        <v>0.26</v>
      </c>
      <c r="H365" s="87">
        <v>0.27900000000000003</v>
      </c>
      <c r="I365" s="87">
        <v>6.0999999999999999E-2</v>
      </c>
      <c r="J365" s="87">
        <v>2.5999999999999999E-2</v>
      </c>
      <c r="K365" s="25">
        <f>((9/3)*L362)+((3/3)*L374)</f>
        <v>32091</v>
      </c>
      <c r="L365" s="95"/>
      <c r="M365" s="82">
        <f t="shared" si="36"/>
        <v>0.6</v>
      </c>
      <c r="N365" s="82">
        <v>0.26</v>
      </c>
      <c r="O365" s="82">
        <f t="shared" si="37"/>
        <v>0.61</v>
      </c>
      <c r="P365" s="82">
        <v>0.34620000000000001</v>
      </c>
      <c r="Q365" s="82">
        <v>0.69640000000000002</v>
      </c>
      <c r="R365" s="82">
        <v>0.6</v>
      </c>
      <c r="S365" s="82">
        <v>0.61</v>
      </c>
    </row>
    <row r="366" spans="1:19">
      <c r="A366" s="19">
        <f t="shared" si="40"/>
        <v>48579</v>
      </c>
      <c r="B366" s="19">
        <f t="shared" si="39"/>
        <v>48943</v>
      </c>
      <c r="C366" s="86">
        <f t="shared" si="43"/>
        <v>0.26</v>
      </c>
      <c r="D366" s="86">
        <f t="shared" si="43"/>
        <v>0.27900000000000003</v>
      </c>
      <c r="E366" s="86">
        <f t="shared" si="43"/>
        <v>6.0999999999999999E-2</v>
      </c>
      <c r="F366" s="86">
        <f t="shared" si="43"/>
        <v>2.5999999999999999E-2</v>
      </c>
      <c r="G366" s="87">
        <v>0.26</v>
      </c>
      <c r="H366" s="87">
        <v>0.27900000000000003</v>
      </c>
      <c r="I366" s="87">
        <v>6.0999999999999999E-2</v>
      </c>
      <c r="J366" s="87">
        <v>2.5999999999999999E-2</v>
      </c>
      <c r="K366" s="25">
        <f>((8/3)*L362)+((4/3)*L374)</f>
        <v>32223</v>
      </c>
      <c r="L366" s="95"/>
      <c r="M366" s="82">
        <f t="shared" si="36"/>
        <v>0.6</v>
      </c>
      <c r="N366" s="82">
        <v>0.26</v>
      </c>
      <c r="O366" s="82">
        <f t="shared" si="37"/>
        <v>0.61</v>
      </c>
      <c r="P366" s="82">
        <v>0.34620000000000001</v>
      </c>
      <c r="Q366" s="82">
        <v>0.69640000000000002</v>
      </c>
      <c r="R366" s="82">
        <v>0.6</v>
      </c>
      <c r="S366" s="82">
        <v>0.61</v>
      </c>
    </row>
    <row r="367" spans="1:19">
      <c r="A367" s="19">
        <f t="shared" si="40"/>
        <v>48610</v>
      </c>
      <c r="B367" s="19">
        <f t="shared" si="39"/>
        <v>48974</v>
      </c>
      <c r="C367" s="86">
        <f t="shared" si="43"/>
        <v>0.26</v>
      </c>
      <c r="D367" s="86">
        <f t="shared" si="43"/>
        <v>0.27900000000000003</v>
      </c>
      <c r="E367" s="86">
        <f t="shared" si="43"/>
        <v>6.0999999999999999E-2</v>
      </c>
      <c r="F367" s="86">
        <f t="shared" si="43"/>
        <v>2.5999999999999999E-2</v>
      </c>
      <c r="G367" s="87">
        <v>0.26</v>
      </c>
      <c r="H367" s="87">
        <v>0.27900000000000003</v>
      </c>
      <c r="I367" s="87">
        <v>6.0999999999999999E-2</v>
      </c>
      <c r="J367" s="87">
        <v>2.5999999999999999E-2</v>
      </c>
      <c r="K367" s="25">
        <f>((7/3)*L362)+((5/3)*L374)</f>
        <v>32355</v>
      </c>
      <c r="L367" s="95"/>
      <c r="M367" s="82">
        <f t="shared" ref="M367:M430" si="44">AVERAGE(R367:R378)</f>
        <v>0.6</v>
      </c>
      <c r="N367" s="82">
        <v>0.26</v>
      </c>
      <c r="O367" s="82">
        <f t="shared" ref="O367:O430" si="45">AVERAGE(S367:S378)</f>
        <v>0.61</v>
      </c>
      <c r="P367" s="82">
        <v>0.34620000000000001</v>
      </c>
      <c r="Q367" s="82">
        <v>0.69640000000000002</v>
      </c>
      <c r="R367" s="82">
        <v>0.6</v>
      </c>
      <c r="S367" s="82">
        <v>0.61</v>
      </c>
    </row>
    <row r="368" spans="1:19">
      <c r="A368" s="19">
        <f t="shared" si="40"/>
        <v>48638</v>
      </c>
      <c r="B368" s="19">
        <f t="shared" si="39"/>
        <v>49002</v>
      </c>
      <c r="C368" s="86">
        <f t="shared" si="43"/>
        <v>0.26</v>
      </c>
      <c r="D368" s="86">
        <f t="shared" si="43"/>
        <v>0.27900000000000003</v>
      </c>
      <c r="E368" s="86">
        <f t="shared" si="43"/>
        <v>6.0999999999999999E-2</v>
      </c>
      <c r="F368" s="86">
        <f t="shared" si="43"/>
        <v>2.5999999999999999E-2</v>
      </c>
      <c r="G368" s="87">
        <v>0.26</v>
      </c>
      <c r="H368" s="87">
        <v>0.27900000000000003</v>
      </c>
      <c r="I368" s="87">
        <v>6.0999999999999999E-2</v>
      </c>
      <c r="J368" s="87">
        <v>2.5999999999999999E-2</v>
      </c>
      <c r="K368" s="25">
        <f>((6/3)*L362)+((6/3)*L374)</f>
        <v>32487</v>
      </c>
      <c r="L368" s="95"/>
      <c r="M368" s="82">
        <f t="shared" si="44"/>
        <v>0.6</v>
      </c>
      <c r="N368" s="82">
        <v>0.26</v>
      </c>
      <c r="O368" s="82">
        <f t="shared" si="45"/>
        <v>0.61</v>
      </c>
      <c r="P368" s="82">
        <v>0.34620000000000001</v>
      </c>
      <c r="Q368" s="82">
        <v>0.69640000000000002</v>
      </c>
      <c r="R368" s="82">
        <v>0.6</v>
      </c>
      <c r="S368" s="82">
        <v>0.61</v>
      </c>
    </row>
    <row r="369" spans="1:19">
      <c r="A369" s="19">
        <f t="shared" si="40"/>
        <v>48669</v>
      </c>
      <c r="B369" s="19">
        <f t="shared" si="39"/>
        <v>49033</v>
      </c>
      <c r="C369" s="86">
        <f t="shared" si="43"/>
        <v>0.26</v>
      </c>
      <c r="D369" s="86">
        <f t="shared" si="43"/>
        <v>0.27900000000000003</v>
      </c>
      <c r="E369" s="86">
        <f t="shared" si="43"/>
        <v>6.0999999999999999E-2</v>
      </c>
      <c r="F369" s="86">
        <f t="shared" si="43"/>
        <v>2.5999999999999999E-2</v>
      </c>
      <c r="G369" s="87">
        <v>0.26</v>
      </c>
      <c r="H369" s="87">
        <v>0.27900000000000003</v>
      </c>
      <c r="I369" s="87">
        <v>6.0999999999999999E-2</v>
      </c>
      <c r="J369" s="87">
        <v>2.5999999999999999E-2</v>
      </c>
      <c r="K369" s="25">
        <f>((5/3)*L362)+((7/3)*L374)</f>
        <v>32619</v>
      </c>
      <c r="L369" s="95"/>
      <c r="M369" s="82">
        <f t="shared" si="44"/>
        <v>0.6</v>
      </c>
      <c r="N369" s="82">
        <v>0.26</v>
      </c>
      <c r="O369" s="82">
        <f t="shared" si="45"/>
        <v>0.61</v>
      </c>
      <c r="P369" s="82">
        <v>0.34620000000000001</v>
      </c>
      <c r="Q369" s="82">
        <v>0.69640000000000002</v>
      </c>
      <c r="R369" s="82">
        <v>0.6</v>
      </c>
      <c r="S369" s="82">
        <v>0.61</v>
      </c>
    </row>
    <row r="370" spans="1:19">
      <c r="A370" s="19">
        <f t="shared" si="40"/>
        <v>48699</v>
      </c>
      <c r="B370" s="19">
        <f t="shared" si="39"/>
        <v>49063</v>
      </c>
      <c r="C370" s="86">
        <f t="shared" si="43"/>
        <v>0.26</v>
      </c>
      <c r="D370" s="86">
        <f t="shared" si="43"/>
        <v>0.27900000000000003</v>
      </c>
      <c r="E370" s="86">
        <f t="shared" si="43"/>
        <v>6.0999999999999999E-2</v>
      </c>
      <c r="F370" s="86">
        <f t="shared" si="43"/>
        <v>2.5999999999999999E-2</v>
      </c>
      <c r="G370" s="87">
        <v>0.26</v>
      </c>
      <c r="H370" s="87">
        <v>0.27900000000000003</v>
      </c>
      <c r="I370" s="87">
        <v>6.0999999999999999E-2</v>
      </c>
      <c r="J370" s="87">
        <v>2.5999999999999999E-2</v>
      </c>
      <c r="K370" s="25">
        <f>((4/3)*L362)+((8/3)*L374)</f>
        <v>32751</v>
      </c>
      <c r="L370" s="95"/>
      <c r="M370" s="82">
        <f t="shared" si="44"/>
        <v>0.6</v>
      </c>
      <c r="N370" s="82">
        <v>0.26</v>
      </c>
      <c r="O370" s="82">
        <f t="shared" si="45"/>
        <v>0.61</v>
      </c>
      <c r="P370" s="82">
        <v>0.34620000000000001</v>
      </c>
      <c r="Q370" s="82">
        <v>0.69640000000000002</v>
      </c>
      <c r="R370" s="82">
        <v>0.6</v>
      </c>
      <c r="S370" s="82">
        <v>0.61</v>
      </c>
    </row>
    <row r="371" spans="1:19">
      <c r="A371" s="19">
        <f t="shared" si="40"/>
        <v>48730</v>
      </c>
      <c r="B371" s="19">
        <f t="shared" si="39"/>
        <v>49094</v>
      </c>
      <c r="C371" s="86">
        <f t="shared" ref="C371:F386" si="46">AVERAGE(G371:G382)</f>
        <v>0.26</v>
      </c>
      <c r="D371" s="86">
        <f t="shared" si="46"/>
        <v>0.27900000000000003</v>
      </c>
      <c r="E371" s="86">
        <f t="shared" si="46"/>
        <v>6.0999999999999999E-2</v>
      </c>
      <c r="F371" s="86">
        <f t="shared" si="46"/>
        <v>2.5999999999999999E-2</v>
      </c>
      <c r="G371" s="87">
        <v>0.26</v>
      </c>
      <c r="H371" s="87">
        <v>0.27900000000000003</v>
      </c>
      <c r="I371" s="87">
        <v>6.0999999999999999E-2</v>
      </c>
      <c r="J371" s="87">
        <v>2.5999999999999999E-2</v>
      </c>
      <c r="K371" s="25">
        <f>((3/3)*L362)+((9/3)*L374)</f>
        <v>32883</v>
      </c>
      <c r="L371" s="95"/>
      <c r="M371" s="82">
        <f t="shared" si="44"/>
        <v>0.6</v>
      </c>
      <c r="N371" s="82">
        <v>0.26</v>
      </c>
      <c r="O371" s="82">
        <f t="shared" si="45"/>
        <v>0.61</v>
      </c>
      <c r="P371" s="82">
        <v>0.34620000000000001</v>
      </c>
      <c r="Q371" s="82">
        <v>0.69640000000000002</v>
      </c>
      <c r="R371" s="82">
        <v>0.6</v>
      </c>
      <c r="S371" s="82">
        <v>0.61</v>
      </c>
    </row>
    <row r="372" spans="1:19">
      <c r="A372" s="19">
        <f t="shared" si="40"/>
        <v>48760</v>
      </c>
      <c r="B372" s="19">
        <f t="shared" si="39"/>
        <v>49124</v>
      </c>
      <c r="C372" s="86">
        <f t="shared" si="46"/>
        <v>0.26</v>
      </c>
      <c r="D372" s="86">
        <f t="shared" si="46"/>
        <v>0.27900000000000003</v>
      </c>
      <c r="E372" s="86">
        <f t="shared" si="46"/>
        <v>6.0999999999999999E-2</v>
      </c>
      <c r="F372" s="86">
        <f t="shared" si="46"/>
        <v>2.5999999999999999E-2</v>
      </c>
      <c r="G372" s="87">
        <v>0.26</v>
      </c>
      <c r="H372" s="87">
        <v>0.27900000000000003</v>
      </c>
      <c r="I372" s="87">
        <v>6.0999999999999999E-2</v>
      </c>
      <c r="J372" s="87">
        <v>2.5999999999999999E-2</v>
      </c>
      <c r="K372" s="25">
        <f>((2/3)*L362)+((10/3)*L374)</f>
        <v>33015</v>
      </c>
      <c r="L372" s="95"/>
      <c r="M372" s="82">
        <f t="shared" si="44"/>
        <v>0.6</v>
      </c>
      <c r="N372" s="82">
        <v>0.26</v>
      </c>
      <c r="O372" s="82">
        <f t="shared" si="45"/>
        <v>0.61</v>
      </c>
      <c r="P372" s="82">
        <v>0.34620000000000001</v>
      </c>
      <c r="Q372" s="82">
        <v>0.69640000000000002</v>
      </c>
      <c r="R372" s="82">
        <v>0.6</v>
      </c>
      <c r="S372" s="82">
        <v>0.61</v>
      </c>
    </row>
    <row r="373" spans="1:19">
      <c r="A373" s="19">
        <f t="shared" si="40"/>
        <v>48791</v>
      </c>
      <c r="B373" s="19">
        <f t="shared" si="39"/>
        <v>49155</v>
      </c>
      <c r="C373" s="83">
        <f t="shared" si="46"/>
        <v>0.26</v>
      </c>
      <c r="D373" s="83">
        <f t="shared" si="46"/>
        <v>0.27900000000000003</v>
      </c>
      <c r="E373" s="83">
        <f t="shared" si="46"/>
        <v>6.0999999999999999E-2</v>
      </c>
      <c r="F373" s="83">
        <f t="shared" si="46"/>
        <v>2.5999999999999999E-2</v>
      </c>
      <c r="G373" s="87">
        <v>0.26</v>
      </c>
      <c r="H373" s="87">
        <v>0.27900000000000003</v>
      </c>
      <c r="I373" s="87">
        <v>6.0999999999999999E-2</v>
      </c>
      <c r="J373" s="87">
        <v>2.5999999999999999E-2</v>
      </c>
      <c r="K373" s="25">
        <f>((1/3)*L362)+((11/3)*L374)</f>
        <v>33147</v>
      </c>
      <c r="L373" s="95"/>
      <c r="M373" s="82">
        <f t="shared" si="44"/>
        <v>0.6</v>
      </c>
      <c r="N373" s="82">
        <v>0.26</v>
      </c>
      <c r="O373" s="82">
        <f t="shared" si="45"/>
        <v>0.61</v>
      </c>
      <c r="P373" s="82">
        <v>0.34620000000000001</v>
      </c>
      <c r="Q373" s="82">
        <v>0.69640000000000002</v>
      </c>
      <c r="R373" s="82">
        <v>0.6</v>
      </c>
      <c r="S373" s="82">
        <v>0.61</v>
      </c>
    </row>
    <row r="374" spans="1:19" s="80" customFormat="1">
      <c r="A374" s="79">
        <f t="shared" si="40"/>
        <v>48822</v>
      </c>
      <c r="B374" s="79">
        <f t="shared" si="39"/>
        <v>49186</v>
      </c>
      <c r="C374" s="88">
        <f t="shared" si="46"/>
        <v>0.26</v>
      </c>
      <c r="D374" s="88">
        <f t="shared" si="46"/>
        <v>0.27900000000000003</v>
      </c>
      <c r="E374" s="88">
        <f t="shared" si="46"/>
        <v>6.0999999999999999E-2</v>
      </c>
      <c r="F374" s="88">
        <f t="shared" si="46"/>
        <v>2.5999999999999999E-2</v>
      </c>
      <c r="G374" s="89">
        <v>0.26</v>
      </c>
      <c r="H374" s="89">
        <v>0.27900000000000003</v>
      </c>
      <c r="I374" s="89">
        <v>6.0999999999999999E-2</v>
      </c>
      <c r="J374" s="89">
        <v>2.5999999999999999E-2</v>
      </c>
      <c r="K374" s="78">
        <f>(L374*4)</f>
        <v>33279</v>
      </c>
      <c r="L374" s="96">
        <f>L362*1.05</f>
        <v>8319.86</v>
      </c>
      <c r="M374" s="355">
        <f t="shared" si="44"/>
        <v>0.6</v>
      </c>
      <c r="N374" s="355">
        <v>0.26</v>
      </c>
      <c r="O374" s="355">
        <f t="shared" si="45"/>
        <v>0.61</v>
      </c>
      <c r="P374" s="355">
        <v>0.34620000000000001</v>
      </c>
      <c r="Q374" s="355">
        <v>0.69640000000000002</v>
      </c>
      <c r="R374" s="355">
        <v>0.6</v>
      </c>
      <c r="S374" s="355">
        <v>0.61</v>
      </c>
    </row>
    <row r="375" spans="1:19" s="80" customFormat="1">
      <c r="A375" s="79">
        <f t="shared" si="40"/>
        <v>48852</v>
      </c>
      <c r="B375" s="79">
        <f t="shared" si="39"/>
        <v>49216</v>
      </c>
      <c r="C375" s="88">
        <f t="shared" si="46"/>
        <v>0.26</v>
      </c>
      <c r="D375" s="88">
        <f t="shared" si="46"/>
        <v>0.27900000000000003</v>
      </c>
      <c r="E375" s="88">
        <f t="shared" si="46"/>
        <v>6.0999999999999999E-2</v>
      </c>
      <c r="F375" s="88">
        <f t="shared" si="46"/>
        <v>2.5999999999999999E-2</v>
      </c>
      <c r="G375" s="89">
        <v>0.26</v>
      </c>
      <c r="H375" s="89">
        <v>0.27900000000000003</v>
      </c>
      <c r="I375" s="89">
        <v>6.0999999999999999E-2</v>
      </c>
      <c r="J375" s="89">
        <v>2.5999999999999999E-2</v>
      </c>
      <c r="K375" s="78">
        <f>((11/3)*L374)+((1/3)*L386)</f>
        <v>33418</v>
      </c>
      <c r="L375" s="96"/>
      <c r="M375" s="355">
        <f t="shared" si="44"/>
        <v>0.6</v>
      </c>
      <c r="N375" s="355">
        <v>0.26</v>
      </c>
      <c r="O375" s="355">
        <f t="shared" si="45"/>
        <v>0.61</v>
      </c>
      <c r="P375" s="355">
        <v>0.34620000000000001</v>
      </c>
      <c r="Q375" s="355">
        <v>0.69640000000000002</v>
      </c>
      <c r="R375" s="355">
        <v>0.6</v>
      </c>
      <c r="S375" s="355">
        <v>0.61</v>
      </c>
    </row>
    <row r="376" spans="1:19" s="80" customFormat="1">
      <c r="A376" s="79">
        <f t="shared" si="40"/>
        <v>48883</v>
      </c>
      <c r="B376" s="79">
        <f t="shared" si="39"/>
        <v>49247</v>
      </c>
      <c r="C376" s="88">
        <f t="shared" si="46"/>
        <v>0.26</v>
      </c>
      <c r="D376" s="88">
        <f t="shared" si="46"/>
        <v>0.27900000000000003</v>
      </c>
      <c r="E376" s="88">
        <f t="shared" si="46"/>
        <v>6.0999999999999999E-2</v>
      </c>
      <c r="F376" s="88">
        <f t="shared" si="46"/>
        <v>2.5999999999999999E-2</v>
      </c>
      <c r="G376" s="89">
        <v>0.26</v>
      </c>
      <c r="H376" s="89">
        <v>0.27900000000000003</v>
      </c>
      <c r="I376" s="89">
        <v>6.0999999999999999E-2</v>
      </c>
      <c r="J376" s="89">
        <v>2.5999999999999999E-2</v>
      </c>
      <c r="K376" s="78">
        <f>((10/3)*L374)+((2/3)*L386)</f>
        <v>33557</v>
      </c>
      <c r="L376" s="96"/>
      <c r="M376" s="355">
        <f t="shared" si="44"/>
        <v>0.6</v>
      </c>
      <c r="N376" s="355">
        <v>0.26</v>
      </c>
      <c r="O376" s="355">
        <f t="shared" si="45"/>
        <v>0.61</v>
      </c>
      <c r="P376" s="355">
        <v>0.34620000000000001</v>
      </c>
      <c r="Q376" s="355">
        <v>0.69640000000000002</v>
      </c>
      <c r="R376" s="355">
        <v>0.6</v>
      </c>
      <c r="S376" s="355">
        <v>0.61</v>
      </c>
    </row>
    <row r="377" spans="1:19" s="80" customFormat="1">
      <c r="A377" s="79">
        <f t="shared" si="40"/>
        <v>48913</v>
      </c>
      <c r="B377" s="79">
        <f t="shared" si="39"/>
        <v>49277</v>
      </c>
      <c r="C377" s="88">
        <f t="shared" si="46"/>
        <v>0.26</v>
      </c>
      <c r="D377" s="88">
        <f t="shared" si="46"/>
        <v>0.27900000000000003</v>
      </c>
      <c r="E377" s="88">
        <f t="shared" si="46"/>
        <v>6.0999999999999999E-2</v>
      </c>
      <c r="F377" s="88">
        <f t="shared" si="46"/>
        <v>2.5999999999999999E-2</v>
      </c>
      <c r="G377" s="89">
        <v>0.26</v>
      </c>
      <c r="H377" s="89">
        <v>0.27900000000000003</v>
      </c>
      <c r="I377" s="89">
        <v>6.0999999999999999E-2</v>
      </c>
      <c r="J377" s="89">
        <v>2.5999999999999999E-2</v>
      </c>
      <c r="K377" s="78">
        <f>((9/3)*L374)+((3/3)*L386)</f>
        <v>33695</v>
      </c>
      <c r="L377" s="96"/>
      <c r="M377" s="355">
        <f t="shared" si="44"/>
        <v>0.6</v>
      </c>
      <c r="N377" s="355">
        <v>0.26</v>
      </c>
      <c r="O377" s="355">
        <f t="shared" si="45"/>
        <v>0.61</v>
      </c>
      <c r="P377" s="355">
        <v>0.34620000000000001</v>
      </c>
      <c r="Q377" s="355">
        <v>0.69640000000000002</v>
      </c>
      <c r="R377" s="355">
        <v>0.6</v>
      </c>
      <c r="S377" s="355">
        <v>0.61</v>
      </c>
    </row>
    <row r="378" spans="1:19" s="80" customFormat="1">
      <c r="A378" s="79">
        <f t="shared" si="40"/>
        <v>48944</v>
      </c>
      <c r="B378" s="79">
        <f t="shared" si="39"/>
        <v>49308</v>
      </c>
      <c r="C378" s="88">
        <f t="shared" si="46"/>
        <v>0.26</v>
      </c>
      <c r="D378" s="88">
        <f t="shared" si="46"/>
        <v>0.27900000000000003</v>
      </c>
      <c r="E378" s="88">
        <f t="shared" si="46"/>
        <v>6.0999999999999999E-2</v>
      </c>
      <c r="F378" s="88">
        <f t="shared" si="46"/>
        <v>2.5999999999999999E-2</v>
      </c>
      <c r="G378" s="89">
        <v>0.26</v>
      </c>
      <c r="H378" s="89">
        <v>0.27900000000000003</v>
      </c>
      <c r="I378" s="89">
        <v>6.0999999999999999E-2</v>
      </c>
      <c r="J378" s="89">
        <v>2.5999999999999999E-2</v>
      </c>
      <c r="K378" s="78">
        <f>((8/3)*L374)+((4/3)*L386)</f>
        <v>33834</v>
      </c>
      <c r="L378" s="96"/>
      <c r="M378" s="355">
        <f t="shared" si="44"/>
        <v>0.6</v>
      </c>
      <c r="N378" s="355">
        <v>0.26</v>
      </c>
      <c r="O378" s="355">
        <f t="shared" si="45"/>
        <v>0.61</v>
      </c>
      <c r="P378" s="355">
        <v>0.34620000000000001</v>
      </c>
      <c r="Q378" s="355">
        <v>0.69640000000000002</v>
      </c>
      <c r="R378" s="355">
        <v>0.6</v>
      </c>
      <c r="S378" s="355">
        <v>0.61</v>
      </c>
    </row>
    <row r="379" spans="1:19" s="80" customFormat="1">
      <c r="A379" s="79">
        <f t="shared" si="40"/>
        <v>48975</v>
      </c>
      <c r="B379" s="79">
        <f t="shared" si="39"/>
        <v>49339</v>
      </c>
      <c r="C379" s="88">
        <f t="shared" si="46"/>
        <v>0.26</v>
      </c>
      <c r="D379" s="88">
        <f t="shared" si="46"/>
        <v>0.27900000000000003</v>
      </c>
      <c r="E379" s="88">
        <f t="shared" si="46"/>
        <v>6.0999999999999999E-2</v>
      </c>
      <c r="F379" s="88">
        <f t="shared" si="46"/>
        <v>2.5999999999999999E-2</v>
      </c>
      <c r="G379" s="89">
        <v>0.26</v>
      </c>
      <c r="H379" s="89">
        <v>0.27900000000000003</v>
      </c>
      <c r="I379" s="89">
        <v>6.0999999999999999E-2</v>
      </c>
      <c r="J379" s="89">
        <v>2.5999999999999999E-2</v>
      </c>
      <c r="K379" s="78">
        <f>((7/3)*L374)+((5/3)*L386)</f>
        <v>33973</v>
      </c>
      <c r="L379" s="96"/>
      <c r="M379" s="355">
        <f t="shared" si="44"/>
        <v>0.6</v>
      </c>
      <c r="N379" s="355">
        <v>0.26</v>
      </c>
      <c r="O379" s="355">
        <f t="shared" si="45"/>
        <v>0.61</v>
      </c>
      <c r="P379" s="355">
        <v>0.34620000000000001</v>
      </c>
      <c r="Q379" s="355">
        <v>0.69640000000000002</v>
      </c>
      <c r="R379" s="355">
        <v>0.6</v>
      </c>
      <c r="S379" s="355">
        <v>0.61</v>
      </c>
    </row>
    <row r="380" spans="1:19" s="80" customFormat="1">
      <c r="A380" s="79">
        <f t="shared" si="40"/>
        <v>49003</v>
      </c>
      <c r="B380" s="79">
        <f t="shared" si="39"/>
        <v>49367</v>
      </c>
      <c r="C380" s="88">
        <f t="shared" si="46"/>
        <v>0.26</v>
      </c>
      <c r="D380" s="88">
        <f t="shared" si="46"/>
        <v>0.27900000000000003</v>
      </c>
      <c r="E380" s="88">
        <f t="shared" si="46"/>
        <v>6.0999999999999999E-2</v>
      </c>
      <c r="F380" s="88">
        <f t="shared" si="46"/>
        <v>2.5999999999999999E-2</v>
      </c>
      <c r="G380" s="89">
        <v>0.26</v>
      </c>
      <c r="H380" s="89">
        <v>0.27900000000000003</v>
      </c>
      <c r="I380" s="89">
        <v>6.0999999999999999E-2</v>
      </c>
      <c r="J380" s="89">
        <v>2.5999999999999999E-2</v>
      </c>
      <c r="K380" s="78">
        <f>((6/3)*L374)+((6/3)*L386)</f>
        <v>34111</v>
      </c>
      <c r="L380" s="96"/>
      <c r="M380" s="355">
        <f t="shared" si="44"/>
        <v>0.6</v>
      </c>
      <c r="N380" s="355">
        <v>0.26</v>
      </c>
      <c r="O380" s="355">
        <f t="shared" si="45"/>
        <v>0.61</v>
      </c>
      <c r="P380" s="355">
        <v>0.34620000000000001</v>
      </c>
      <c r="Q380" s="355">
        <v>0.69640000000000002</v>
      </c>
      <c r="R380" s="355">
        <v>0.6</v>
      </c>
      <c r="S380" s="355">
        <v>0.61</v>
      </c>
    </row>
    <row r="381" spans="1:19" s="80" customFormat="1">
      <c r="A381" s="79">
        <f t="shared" si="40"/>
        <v>49034</v>
      </c>
      <c r="B381" s="79">
        <f t="shared" si="39"/>
        <v>49398</v>
      </c>
      <c r="C381" s="88">
        <f t="shared" si="46"/>
        <v>0.26</v>
      </c>
      <c r="D381" s="88">
        <f t="shared" si="46"/>
        <v>0.27900000000000003</v>
      </c>
      <c r="E381" s="88">
        <f t="shared" si="46"/>
        <v>6.0999999999999999E-2</v>
      </c>
      <c r="F381" s="88">
        <f t="shared" si="46"/>
        <v>2.5999999999999999E-2</v>
      </c>
      <c r="G381" s="89">
        <v>0.26</v>
      </c>
      <c r="H381" s="89">
        <v>0.27900000000000003</v>
      </c>
      <c r="I381" s="89">
        <v>6.0999999999999999E-2</v>
      </c>
      <c r="J381" s="89">
        <v>2.5999999999999999E-2</v>
      </c>
      <c r="K381" s="78">
        <f>((5/3)*L374)+((7/3)*L386)</f>
        <v>34250</v>
      </c>
      <c r="L381" s="96"/>
      <c r="M381" s="355">
        <f t="shared" si="44"/>
        <v>0.6</v>
      </c>
      <c r="N381" s="355">
        <v>0.26</v>
      </c>
      <c r="O381" s="355">
        <f t="shared" si="45"/>
        <v>0.61</v>
      </c>
      <c r="P381" s="355">
        <v>0.34620000000000001</v>
      </c>
      <c r="Q381" s="355">
        <v>0.69640000000000002</v>
      </c>
      <c r="R381" s="355">
        <v>0.6</v>
      </c>
      <c r="S381" s="355">
        <v>0.61</v>
      </c>
    </row>
    <row r="382" spans="1:19" s="80" customFormat="1">
      <c r="A382" s="79">
        <f t="shared" si="40"/>
        <v>49064</v>
      </c>
      <c r="B382" s="79">
        <f t="shared" si="39"/>
        <v>49428</v>
      </c>
      <c r="C382" s="88">
        <f t="shared" si="46"/>
        <v>0.26</v>
      </c>
      <c r="D382" s="88">
        <f t="shared" si="46"/>
        <v>0.27900000000000003</v>
      </c>
      <c r="E382" s="88">
        <f t="shared" si="46"/>
        <v>6.0999999999999999E-2</v>
      </c>
      <c r="F382" s="88">
        <f t="shared" si="46"/>
        <v>2.5999999999999999E-2</v>
      </c>
      <c r="G382" s="89">
        <v>0.26</v>
      </c>
      <c r="H382" s="89">
        <v>0.27900000000000003</v>
      </c>
      <c r="I382" s="89">
        <v>6.0999999999999999E-2</v>
      </c>
      <c r="J382" s="89">
        <v>2.5999999999999999E-2</v>
      </c>
      <c r="K382" s="78">
        <f>((4/3)*L374)+((8/3)*L386)</f>
        <v>34389</v>
      </c>
      <c r="L382" s="96"/>
      <c r="M382" s="355">
        <f t="shared" si="44"/>
        <v>0.6</v>
      </c>
      <c r="N382" s="355">
        <v>0.26</v>
      </c>
      <c r="O382" s="355">
        <f t="shared" si="45"/>
        <v>0.61</v>
      </c>
      <c r="P382" s="355">
        <v>0.34620000000000001</v>
      </c>
      <c r="Q382" s="355">
        <v>0.69640000000000002</v>
      </c>
      <c r="R382" s="355">
        <v>0.6</v>
      </c>
      <c r="S382" s="355">
        <v>0.61</v>
      </c>
    </row>
    <row r="383" spans="1:19" s="80" customFormat="1">
      <c r="A383" s="79">
        <f t="shared" si="40"/>
        <v>49095</v>
      </c>
      <c r="B383" s="79">
        <f t="shared" si="39"/>
        <v>49459</v>
      </c>
      <c r="C383" s="88">
        <f t="shared" si="46"/>
        <v>0.26</v>
      </c>
      <c r="D383" s="88">
        <f t="shared" si="46"/>
        <v>0.27900000000000003</v>
      </c>
      <c r="E383" s="88">
        <f t="shared" si="46"/>
        <v>6.0999999999999999E-2</v>
      </c>
      <c r="F383" s="88">
        <f t="shared" si="46"/>
        <v>2.5999999999999999E-2</v>
      </c>
      <c r="G383" s="89">
        <v>0.26</v>
      </c>
      <c r="H383" s="89">
        <v>0.27900000000000003</v>
      </c>
      <c r="I383" s="89">
        <v>6.0999999999999999E-2</v>
      </c>
      <c r="J383" s="89">
        <v>2.5999999999999999E-2</v>
      </c>
      <c r="K383" s="78">
        <f>((3/3)*L374)+((9/3)*L386)</f>
        <v>34527</v>
      </c>
      <c r="L383" s="96"/>
      <c r="M383" s="355">
        <f t="shared" si="44"/>
        <v>0.6</v>
      </c>
      <c r="N383" s="355">
        <v>0.26</v>
      </c>
      <c r="O383" s="355">
        <f t="shared" si="45"/>
        <v>0.61</v>
      </c>
      <c r="P383" s="355">
        <v>0.34620000000000001</v>
      </c>
      <c r="Q383" s="355">
        <v>0.69640000000000002</v>
      </c>
      <c r="R383" s="355">
        <v>0.6</v>
      </c>
      <c r="S383" s="355">
        <v>0.61</v>
      </c>
    </row>
    <row r="384" spans="1:19" s="80" customFormat="1">
      <c r="A384" s="79">
        <f t="shared" si="40"/>
        <v>49125</v>
      </c>
      <c r="B384" s="79">
        <f t="shared" si="39"/>
        <v>49489</v>
      </c>
      <c r="C384" s="88">
        <f t="shared" si="46"/>
        <v>0.26</v>
      </c>
      <c r="D384" s="88">
        <f t="shared" si="46"/>
        <v>0.27900000000000003</v>
      </c>
      <c r="E384" s="88">
        <f t="shared" si="46"/>
        <v>6.0999999999999999E-2</v>
      </c>
      <c r="F384" s="88">
        <f t="shared" si="46"/>
        <v>2.5999999999999999E-2</v>
      </c>
      <c r="G384" s="89">
        <v>0.26</v>
      </c>
      <c r="H384" s="89">
        <v>0.27900000000000003</v>
      </c>
      <c r="I384" s="89">
        <v>6.0999999999999999E-2</v>
      </c>
      <c r="J384" s="89">
        <v>2.5999999999999999E-2</v>
      </c>
      <c r="K384" s="78">
        <f>((2/3)*L374)+((10/3)*L386)</f>
        <v>34666</v>
      </c>
      <c r="L384" s="96"/>
      <c r="M384" s="355">
        <f t="shared" si="44"/>
        <v>0.6</v>
      </c>
      <c r="N384" s="355">
        <v>0.26</v>
      </c>
      <c r="O384" s="355">
        <f t="shared" si="45"/>
        <v>0.61</v>
      </c>
      <c r="P384" s="355">
        <v>0.34620000000000001</v>
      </c>
      <c r="Q384" s="355">
        <v>0.69640000000000002</v>
      </c>
      <c r="R384" s="355">
        <v>0.6</v>
      </c>
      <c r="S384" s="355">
        <v>0.61</v>
      </c>
    </row>
    <row r="385" spans="1:19" s="80" customFormat="1">
      <c r="A385" s="79">
        <f t="shared" si="40"/>
        <v>49156</v>
      </c>
      <c r="B385" s="79">
        <f t="shared" si="39"/>
        <v>49520</v>
      </c>
      <c r="C385" s="88">
        <f t="shared" si="46"/>
        <v>0.26</v>
      </c>
      <c r="D385" s="88">
        <f t="shared" si="46"/>
        <v>0.27900000000000003</v>
      </c>
      <c r="E385" s="88">
        <f t="shared" si="46"/>
        <v>6.0999999999999999E-2</v>
      </c>
      <c r="F385" s="88">
        <f t="shared" si="46"/>
        <v>2.5999999999999999E-2</v>
      </c>
      <c r="G385" s="89">
        <v>0.26</v>
      </c>
      <c r="H385" s="89">
        <v>0.27900000000000003</v>
      </c>
      <c r="I385" s="89">
        <v>6.0999999999999999E-2</v>
      </c>
      <c r="J385" s="89">
        <v>2.5999999999999999E-2</v>
      </c>
      <c r="K385" s="78">
        <f>((1/3)*L374)+((11/3)*L386)</f>
        <v>34805</v>
      </c>
      <c r="L385" s="96"/>
      <c r="M385" s="355">
        <f t="shared" si="44"/>
        <v>0.6</v>
      </c>
      <c r="N385" s="355">
        <v>0.26</v>
      </c>
      <c r="O385" s="355">
        <f t="shared" si="45"/>
        <v>0.61</v>
      </c>
      <c r="P385" s="355">
        <v>0.34620000000000001</v>
      </c>
      <c r="Q385" s="355">
        <v>0.69640000000000002</v>
      </c>
      <c r="R385" s="355">
        <v>0.6</v>
      </c>
      <c r="S385" s="355">
        <v>0.61</v>
      </c>
    </row>
    <row r="386" spans="1:19">
      <c r="A386" s="19">
        <f t="shared" si="40"/>
        <v>49187</v>
      </c>
      <c r="B386" s="19">
        <f t="shared" ref="B386:B449" si="47">EDATE(A386,12)-1</f>
        <v>49551</v>
      </c>
      <c r="C386" s="86">
        <f t="shared" si="46"/>
        <v>0.26</v>
      </c>
      <c r="D386" s="86">
        <f t="shared" si="46"/>
        <v>0.27900000000000003</v>
      </c>
      <c r="E386" s="86">
        <f t="shared" si="46"/>
        <v>6.0999999999999999E-2</v>
      </c>
      <c r="F386" s="86">
        <f t="shared" si="46"/>
        <v>2.5999999999999999E-2</v>
      </c>
      <c r="G386" s="87">
        <v>0.26</v>
      </c>
      <c r="H386" s="87">
        <v>0.27900000000000003</v>
      </c>
      <c r="I386" s="87">
        <v>6.0999999999999999E-2</v>
      </c>
      <c r="J386" s="87">
        <v>2.5999999999999999E-2</v>
      </c>
      <c r="K386" s="25">
        <f>(L386*4)</f>
        <v>34943</v>
      </c>
      <c r="L386" s="95">
        <f>L374*1.05</f>
        <v>8735.85</v>
      </c>
      <c r="M386" s="82">
        <f t="shared" si="44"/>
        <v>0.6</v>
      </c>
      <c r="N386" s="82">
        <v>0.26</v>
      </c>
      <c r="O386" s="82">
        <f t="shared" si="45"/>
        <v>0.61</v>
      </c>
      <c r="P386" s="82">
        <v>0.34620000000000001</v>
      </c>
      <c r="Q386" s="82">
        <v>0.69640000000000002</v>
      </c>
      <c r="R386" s="82">
        <v>0.6</v>
      </c>
      <c r="S386" s="82">
        <v>0.61</v>
      </c>
    </row>
    <row r="387" spans="1:19">
      <c r="A387" s="19">
        <f t="shared" ref="A387:A450" si="48">EDATE(A386,1)</f>
        <v>49217</v>
      </c>
      <c r="B387" s="19">
        <f t="shared" si="47"/>
        <v>49581</v>
      </c>
      <c r="C387" s="86">
        <f t="shared" ref="C387:F402" si="49">AVERAGE(G387:G398)</f>
        <v>0.26</v>
      </c>
      <c r="D387" s="86">
        <f t="shared" si="49"/>
        <v>0.27900000000000003</v>
      </c>
      <c r="E387" s="86">
        <f t="shared" si="49"/>
        <v>6.0999999999999999E-2</v>
      </c>
      <c r="F387" s="86">
        <f t="shared" si="49"/>
        <v>2.5999999999999999E-2</v>
      </c>
      <c r="G387" s="87">
        <v>0.26</v>
      </c>
      <c r="H387" s="87">
        <v>0.27900000000000003</v>
      </c>
      <c r="I387" s="87">
        <v>6.0999999999999999E-2</v>
      </c>
      <c r="J387" s="87">
        <v>2.5999999999999999E-2</v>
      </c>
      <c r="K387" s="25">
        <f>((11/3)*L386)+((1/3)*L398)</f>
        <v>35089</v>
      </c>
      <c r="L387" s="95"/>
      <c r="M387" s="82">
        <f t="shared" si="44"/>
        <v>0.6</v>
      </c>
      <c r="N387" s="82">
        <v>0.26</v>
      </c>
      <c r="O387" s="82">
        <f t="shared" si="45"/>
        <v>0.61</v>
      </c>
      <c r="P387" s="82">
        <v>0.34620000000000001</v>
      </c>
      <c r="Q387" s="82">
        <v>0.69640000000000002</v>
      </c>
      <c r="R387" s="82">
        <v>0.6</v>
      </c>
      <c r="S387" s="82">
        <v>0.61</v>
      </c>
    </row>
    <row r="388" spans="1:19">
      <c r="A388" s="19">
        <f t="shared" si="48"/>
        <v>49248</v>
      </c>
      <c r="B388" s="19">
        <f t="shared" si="47"/>
        <v>49612</v>
      </c>
      <c r="C388" s="86">
        <f t="shared" si="49"/>
        <v>0.26</v>
      </c>
      <c r="D388" s="86">
        <f t="shared" si="49"/>
        <v>0.27900000000000003</v>
      </c>
      <c r="E388" s="86">
        <f t="shared" si="49"/>
        <v>6.0999999999999999E-2</v>
      </c>
      <c r="F388" s="86">
        <f t="shared" si="49"/>
        <v>2.5999999999999999E-2</v>
      </c>
      <c r="G388" s="87">
        <v>0.26</v>
      </c>
      <c r="H388" s="87">
        <v>0.27900000000000003</v>
      </c>
      <c r="I388" s="87">
        <v>6.0999999999999999E-2</v>
      </c>
      <c r="J388" s="87">
        <v>2.5999999999999999E-2</v>
      </c>
      <c r="K388" s="25">
        <f>((10/3)*L386)+((2/3)*L398)</f>
        <v>35235</v>
      </c>
      <c r="L388" s="95"/>
      <c r="M388" s="82">
        <f t="shared" si="44"/>
        <v>0.6</v>
      </c>
      <c r="N388" s="82">
        <v>0.26</v>
      </c>
      <c r="O388" s="82">
        <f t="shared" si="45"/>
        <v>0.61</v>
      </c>
      <c r="P388" s="82">
        <v>0.34620000000000001</v>
      </c>
      <c r="Q388" s="82">
        <v>0.69640000000000002</v>
      </c>
      <c r="R388" s="82">
        <v>0.6</v>
      </c>
      <c r="S388" s="82">
        <v>0.61</v>
      </c>
    </row>
    <row r="389" spans="1:19">
      <c r="A389" s="19">
        <f t="shared" si="48"/>
        <v>49278</v>
      </c>
      <c r="B389" s="19">
        <f t="shared" si="47"/>
        <v>49642</v>
      </c>
      <c r="C389" s="86">
        <f t="shared" si="49"/>
        <v>0.26</v>
      </c>
      <c r="D389" s="86">
        <f t="shared" si="49"/>
        <v>0.27900000000000003</v>
      </c>
      <c r="E389" s="86">
        <f t="shared" si="49"/>
        <v>6.0999999999999999E-2</v>
      </c>
      <c r="F389" s="86">
        <f t="shared" si="49"/>
        <v>2.5999999999999999E-2</v>
      </c>
      <c r="G389" s="87">
        <v>0.26</v>
      </c>
      <c r="H389" s="87">
        <v>0.27900000000000003</v>
      </c>
      <c r="I389" s="87">
        <v>6.0999999999999999E-2</v>
      </c>
      <c r="J389" s="87">
        <v>2.5999999999999999E-2</v>
      </c>
      <c r="K389" s="25">
        <f>((9/3)*L386)+((3/3)*L398)</f>
        <v>35380</v>
      </c>
      <c r="L389" s="95"/>
      <c r="M389" s="82">
        <f t="shared" si="44"/>
        <v>0.6</v>
      </c>
      <c r="N389" s="82">
        <v>0.26</v>
      </c>
      <c r="O389" s="82">
        <f t="shared" si="45"/>
        <v>0.61</v>
      </c>
      <c r="P389" s="82">
        <v>0.34620000000000001</v>
      </c>
      <c r="Q389" s="82">
        <v>0.69640000000000002</v>
      </c>
      <c r="R389" s="82">
        <v>0.6</v>
      </c>
      <c r="S389" s="82">
        <v>0.61</v>
      </c>
    </row>
    <row r="390" spans="1:19">
      <c r="A390" s="19">
        <f t="shared" si="48"/>
        <v>49309</v>
      </c>
      <c r="B390" s="19">
        <f t="shared" si="47"/>
        <v>49673</v>
      </c>
      <c r="C390" s="86">
        <f t="shared" si="49"/>
        <v>0.26</v>
      </c>
      <c r="D390" s="86">
        <f t="shared" si="49"/>
        <v>0.27900000000000003</v>
      </c>
      <c r="E390" s="86">
        <f t="shared" si="49"/>
        <v>6.0999999999999999E-2</v>
      </c>
      <c r="F390" s="86">
        <f t="shared" si="49"/>
        <v>2.5999999999999999E-2</v>
      </c>
      <c r="G390" s="87">
        <v>0.26</v>
      </c>
      <c r="H390" s="87">
        <v>0.27900000000000003</v>
      </c>
      <c r="I390" s="87">
        <v>6.0999999999999999E-2</v>
      </c>
      <c r="J390" s="87">
        <v>2.5999999999999999E-2</v>
      </c>
      <c r="K390" s="25">
        <f>((8/3)*L386)+((4/3)*L398)</f>
        <v>35526</v>
      </c>
      <c r="L390" s="95"/>
      <c r="M390" s="82">
        <f t="shared" si="44"/>
        <v>0.6</v>
      </c>
      <c r="N390" s="82">
        <v>0.26</v>
      </c>
      <c r="O390" s="82">
        <f t="shared" si="45"/>
        <v>0.61</v>
      </c>
      <c r="P390" s="82">
        <v>0.34620000000000001</v>
      </c>
      <c r="Q390" s="82">
        <v>0.69640000000000002</v>
      </c>
      <c r="R390" s="82">
        <v>0.6</v>
      </c>
      <c r="S390" s="82">
        <v>0.61</v>
      </c>
    </row>
    <row r="391" spans="1:19">
      <c r="A391" s="19">
        <f t="shared" si="48"/>
        <v>49340</v>
      </c>
      <c r="B391" s="19">
        <f t="shared" si="47"/>
        <v>49704</v>
      </c>
      <c r="C391" s="86">
        <f t="shared" si="49"/>
        <v>0.26</v>
      </c>
      <c r="D391" s="86">
        <f t="shared" si="49"/>
        <v>0.27900000000000003</v>
      </c>
      <c r="E391" s="86">
        <f t="shared" si="49"/>
        <v>6.0999999999999999E-2</v>
      </c>
      <c r="F391" s="86">
        <f t="shared" si="49"/>
        <v>2.5999999999999999E-2</v>
      </c>
      <c r="G391" s="87">
        <v>0.26</v>
      </c>
      <c r="H391" s="87">
        <v>0.27900000000000003</v>
      </c>
      <c r="I391" s="87">
        <v>6.0999999999999999E-2</v>
      </c>
      <c r="J391" s="87">
        <v>2.5999999999999999E-2</v>
      </c>
      <c r="K391" s="25">
        <f>((7/3)*L386)+((5/3)*L398)</f>
        <v>35671</v>
      </c>
      <c r="L391" s="95"/>
      <c r="M391" s="82">
        <f t="shared" si="44"/>
        <v>0.6</v>
      </c>
      <c r="N391" s="82">
        <v>0.26</v>
      </c>
      <c r="O391" s="82">
        <f t="shared" si="45"/>
        <v>0.61</v>
      </c>
      <c r="P391" s="82">
        <v>0.34620000000000001</v>
      </c>
      <c r="Q391" s="82">
        <v>0.69640000000000002</v>
      </c>
      <c r="R391" s="82">
        <v>0.6</v>
      </c>
      <c r="S391" s="82">
        <v>0.61</v>
      </c>
    </row>
    <row r="392" spans="1:19">
      <c r="A392" s="19">
        <f t="shared" si="48"/>
        <v>49368</v>
      </c>
      <c r="B392" s="19">
        <f t="shared" si="47"/>
        <v>49733</v>
      </c>
      <c r="C392" s="86">
        <f t="shared" si="49"/>
        <v>0.26</v>
      </c>
      <c r="D392" s="86">
        <f t="shared" si="49"/>
        <v>0.27900000000000003</v>
      </c>
      <c r="E392" s="86">
        <f t="shared" si="49"/>
        <v>6.0999999999999999E-2</v>
      </c>
      <c r="F392" s="86">
        <f t="shared" si="49"/>
        <v>2.5999999999999999E-2</v>
      </c>
      <c r="G392" s="87">
        <v>0.26</v>
      </c>
      <c r="H392" s="87">
        <v>0.27900000000000003</v>
      </c>
      <c r="I392" s="87">
        <v>6.0999999999999999E-2</v>
      </c>
      <c r="J392" s="87">
        <v>2.5999999999999999E-2</v>
      </c>
      <c r="K392" s="25">
        <f>((6/3)*L386)+((6/3)*L398)</f>
        <v>35817</v>
      </c>
      <c r="L392" s="95"/>
      <c r="M392" s="82">
        <f t="shared" si="44"/>
        <v>0.6</v>
      </c>
      <c r="N392" s="82">
        <v>0.26</v>
      </c>
      <c r="O392" s="82">
        <f t="shared" si="45"/>
        <v>0.61</v>
      </c>
      <c r="P392" s="82">
        <v>0.34620000000000001</v>
      </c>
      <c r="Q392" s="82">
        <v>0.69640000000000002</v>
      </c>
      <c r="R392" s="82">
        <v>0.6</v>
      </c>
      <c r="S392" s="82">
        <v>0.61</v>
      </c>
    </row>
    <row r="393" spans="1:19">
      <c r="A393" s="19">
        <f t="shared" si="48"/>
        <v>49399</v>
      </c>
      <c r="B393" s="19">
        <f t="shared" si="47"/>
        <v>49764</v>
      </c>
      <c r="C393" s="86">
        <f t="shared" si="49"/>
        <v>0.26</v>
      </c>
      <c r="D393" s="86">
        <f t="shared" si="49"/>
        <v>0.27900000000000003</v>
      </c>
      <c r="E393" s="86">
        <f t="shared" si="49"/>
        <v>6.0999999999999999E-2</v>
      </c>
      <c r="F393" s="86">
        <f t="shared" si="49"/>
        <v>2.5999999999999999E-2</v>
      </c>
      <c r="G393" s="87">
        <v>0.26</v>
      </c>
      <c r="H393" s="87">
        <v>0.27900000000000003</v>
      </c>
      <c r="I393" s="87">
        <v>6.0999999999999999E-2</v>
      </c>
      <c r="J393" s="87">
        <v>2.5999999999999999E-2</v>
      </c>
      <c r="K393" s="25">
        <f>((5/3)*L386)+((7/3)*L398)</f>
        <v>35963</v>
      </c>
      <c r="L393" s="95"/>
      <c r="M393" s="82">
        <f t="shared" si="44"/>
        <v>0.6</v>
      </c>
      <c r="N393" s="82">
        <v>0.26</v>
      </c>
      <c r="O393" s="82">
        <f t="shared" si="45"/>
        <v>0.61</v>
      </c>
      <c r="P393" s="82">
        <v>0.34620000000000001</v>
      </c>
      <c r="Q393" s="82">
        <v>0.69640000000000002</v>
      </c>
      <c r="R393" s="82">
        <v>0.6</v>
      </c>
      <c r="S393" s="82">
        <v>0.61</v>
      </c>
    </row>
    <row r="394" spans="1:19">
      <c r="A394" s="19">
        <f t="shared" si="48"/>
        <v>49429</v>
      </c>
      <c r="B394" s="19">
        <f t="shared" si="47"/>
        <v>49794</v>
      </c>
      <c r="C394" s="86">
        <f t="shared" si="49"/>
        <v>0.26</v>
      </c>
      <c r="D394" s="86">
        <f t="shared" si="49"/>
        <v>0.27900000000000003</v>
      </c>
      <c r="E394" s="86">
        <f t="shared" si="49"/>
        <v>6.0999999999999999E-2</v>
      </c>
      <c r="F394" s="86">
        <f t="shared" si="49"/>
        <v>2.5999999999999999E-2</v>
      </c>
      <c r="G394" s="87">
        <v>0.26</v>
      </c>
      <c r="H394" s="87">
        <v>0.27900000000000003</v>
      </c>
      <c r="I394" s="87">
        <v>6.0999999999999999E-2</v>
      </c>
      <c r="J394" s="87">
        <v>2.5999999999999999E-2</v>
      </c>
      <c r="K394" s="25">
        <f>((4/3)*L386)+((8/3)*L398)</f>
        <v>36108</v>
      </c>
      <c r="L394" s="95"/>
      <c r="M394" s="82">
        <f t="shared" si="44"/>
        <v>0.6</v>
      </c>
      <c r="N394" s="82">
        <v>0.26</v>
      </c>
      <c r="O394" s="82">
        <f t="shared" si="45"/>
        <v>0.61</v>
      </c>
      <c r="P394" s="82">
        <v>0.34620000000000001</v>
      </c>
      <c r="Q394" s="82">
        <v>0.69640000000000002</v>
      </c>
      <c r="R394" s="82">
        <v>0.6</v>
      </c>
      <c r="S394" s="82">
        <v>0.61</v>
      </c>
    </row>
    <row r="395" spans="1:19">
      <c r="A395" s="19">
        <f t="shared" si="48"/>
        <v>49460</v>
      </c>
      <c r="B395" s="19">
        <f t="shared" si="47"/>
        <v>49825</v>
      </c>
      <c r="C395" s="86">
        <f t="shared" si="49"/>
        <v>0.26</v>
      </c>
      <c r="D395" s="86">
        <f t="shared" si="49"/>
        <v>0.27900000000000003</v>
      </c>
      <c r="E395" s="86">
        <f t="shared" si="49"/>
        <v>6.0999999999999999E-2</v>
      </c>
      <c r="F395" s="86">
        <f t="shared" si="49"/>
        <v>2.5999999999999999E-2</v>
      </c>
      <c r="G395" s="87">
        <v>0.26</v>
      </c>
      <c r="H395" s="87">
        <v>0.27900000000000003</v>
      </c>
      <c r="I395" s="87">
        <v>6.0999999999999999E-2</v>
      </c>
      <c r="J395" s="87">
        <v>2.5999999999999999E-2</v>
      </c>
      <c r="K395" s="25">
        <f>((3/3)*L386)+((9/3)*L398)</f>
        <v>36254</v>
      </c>
      <c r="L395" s="95"/>
      <c r="M395" s="82">
        <f t="shared" si="44"/>
        <v>0.6</v>
      </c>
      <c r="N395" s="82">
        <v>0.26</v>
      </c>
      <c r="O395" s="82">
        <f t="shared" si="45"/>
        <v>0.61</v>
      </c>
      <c r="P395" s="82">
        <v>0.34620000000000001</v>
      </c>
      <c r="Q395" s="82">
        <v>0.69640000000000002</v>
      </c>
      <c r="R395" s="82">
        <v>0.6</v>
      </c>
      <c r="S395" s="82">
        <v>0.61</v>
      </c>
    </row>
    <row r="396" spans="1:19">
      <c r="A396" s="19">
        <f t="shared" si="48"/>
        <v>49490</v>
      </c>
      <c r="B396" s="19">
        <f t="shared" si="47"/>
        <v>49855</v>
      </c>
      <c r="C396" s="86">
        <f t="shared" si="49"/>
        <v>0.26</v>
      </c>
      <c r="D396" s="86">
        <f t="shared" si="49"/>
        <v>0.27900000000000003</v>
      </c>
      <c r="E396" s="86">
        <f t="shared" si="49"/>
        <v>6.0999999999999999E-2</v>
      </c>
      <c r="F396" s="86">
        <f t="shared" si="49"/>
        <v>2.5999999999999999E-2</v>
      </c>
      <c r="G396" s="87">
        <v>0.26</v>
      </c>
      <c r="H396" s="87">
        <v>0.27900000000000003</v>
      </c>
      <c r="I396" s="87">
        <v>6.0999999999999999E-2</v>
      </c>
      <c r="J396" s="87">
        <v>2.5999999999999999E-2</v>
      </c>
      <c r="K396" s="25">
        <f>((2/3)*L386)+((10/3)*L398)</f>
        <v>36399</v>
      </c>
      <c r="L396" s="95"/>
      <c r="M396" s="82">
        <f t="shared" si="44"/>
        <v>0.6</v>
      </c>
      <c r="N396" s="82">
        <v>0.26</v>
      </c>
      <c r="O396" s="82">
        <f t="shared" si="45"/>
        <v>0.61</v>
      </c>
      <c r="P396" s="82">
        <v>0.34620000000000001</v>
      </c>
      <c r="Q396" s="82">
        <v>0.69640000000000002</v>
      </c>
      <c r="R396" s="82">
        <v>0.6</v>
      </c>
      <c r="S396" s="82">
        <v>0.61</v>
      </c>
    </row>
    <row r="397" spans="1:19">
      <c r="A397" s="19">
        <f t="shared" si="48"/>
        <v>49521</v>
      </c>
      <c r="B397" s="19">
        <f t="shared" si="47"/>
        <v>49886</v>
      </c>
      <c r="C397" s="83">
        <f t="shared" si="49"/>
        <v>0.26</v>
      </c>
      <c r="D397" s="83">
        <f t="shared" si="49"/>
        <v>0.27900000000000003</v>
      </c>
      <c r="E397" s="83">
        <f t="shared" si="49"/>
        <v>6.0999999999999999E-2</v>
      </c>
      <c r="F397" s="83">
        <f t="shared" si="49"/>
        <v>2.5999999999999999E-2</v>
      </c>
      <c r="G397" s="87">
        <v>0.26</v>
      </c>
      <c r="H397" s="87">
        <v>0.27900000000000003</v>
      </c>
      <c r="I397" s="87">
        <v>6.0999999999999999E-2</v>
      </c>
      <c r="J397" s="87">
        <v>2.5999999999999999E-2</v>
      </c>
      <c r="K397" s="25">
        <f>((1/3)*L386)+((11/3)*L398)</f>
        <v>36545</v>
      </c>
      <c r="L397" s="95"/>
      <c r="M397" s="82">
        <f t="shared" si="44"/>
        <v>0.6</v>
      </c>
      <c r="N397" s="82">
        <v>0.26</v>
      </c>
      <c r="O397" s="82">
        <f t="shared" si="45"/>
        <v>0.61</v>
      </c>
      <c r="P397" s="82">
        <v>0.34620000000000001</v>
      </c>
      <c r="Q397" s="82">
        <v>0.69640000000000002</v>
      </c>
      <c r="R397" s="82">
        <v>0.6</v>
      </c>
      <c r="S397" s="82">
        <v>0.61</v>
      </c>
    </row>
    <row r="398" spans="1:19" s="80" customFormat="1">
      <c r="A398" s="79">
        <f t="shared" si="48"/>
        <v>49552</v>
      </c>
      <c r="B398" s="79">
        <f t="shared" si="47"/>
        <v>49917</v>
      </c>
      <c r="C398" s="88">
        <f t="shared" si="49"/>
        <v>0.26</v>
      </c>
      <c r="D398" s="88">
        <f t="shared" si="49"/>
        <v>0.27900000000000003</v>
      </c>
      <c r="E398" s="88">
        <f t="shared" si="49"/>
        <v>6.0999999999999999E-2</v>
      </c>
      <c r="F398" s="88">
        <f t="shared" si="49"/>
        <v>2.5999999999999999E-2</v>
      </c>
      <c r="G398" s="89">
        <v>0.26</v>
      </c>
      <c r="H398" s="89">
        <v>0.27900000000000003</v>
      </c>
      <c r="I398" s="89">
        <v>6.0999999999999999E-2</v>
      </c>
      <c r="J398" s="89">
        <v>2.5999999999999999E-2</v>
      </c>
      <c r="K398" s="78">
        <f>(L398*4)</f>
        <v>36691</v>
      </c>
      <c r="L398" s="96">
        <f>L386*1.05</f>
        <v>9172.64</v>
      </c>
      <c r="M398" s="355">
        <f t="shared" si="44"/>
        <v>0.6</v>
      </c>
      <c r="N398" s="355">
        <v>0.26</v>
      </c>
      <c r="O398" s="355">
        <f t="shared" si="45"/>
        <v>0.61</v>
      </c>
      <c r="P398" s="355">
        <v>0.34620000000000001</v>
      </c>
      <c r="Q398" s="355">
        <v>0.69640000000000002</v>
      </c>
      <c r="R398" s="355">
        <v>0.6</v>
      </c>
      <c r="S398" s="355">
        <v>0.61</v>
      </c>
    </row>
    <row r="399" spans="1:19" s="80" customFormat="1">
      <c r="A399" s="79">
        <f t="shared" si="48"/>
        <v>49582</v>
      </c>
      <c r="B399" s="79">
        <f t="shared" si="47"/>
        <v>49947</v>
      </c>
      <c r="C399" s="88">
        <f t="shared" si="49"/>
        <v>0.26</v>
      </c>
      <c r="D399" s="88">
        <f t="shared" si="49"/>
        <v>0.27900000000000003</v>
      </c>
      <c r="E399" s="88">
        <f t="shared" si="49"/>
        <v>6.0999999999999999E-2</v>
      </c>
      <c r="F399" s="88">
        <f t="shared" si="49"/>
        <v>2.5999999999999999E-2</v>
      </c>
      <c r="G399" s="89">
        <v>0.26</v>
      </c>
      <c r="H399" s="89">
        <v>0.27900000000000003</v>
      </c>
      <c r="I399" s="89">
        <v>6.0999999999999999E-2</v>
      </c>
      <c r="J399" s="89">
        <v>2.5999999999999999E-2</v>
      </c>
      <c r="K399" s="78">
        <f>((11/3)*L398)+((1/3)*L410)</f>
        <v>36843</v>
      </c>
      <c r="L399" s="96"/>
      <c r="M399" s="355">
        <f t="shared" si="44"/>
        <v>0.6</v>
      </c>
      <c r="N399" s="355">
        <v>0.26</v>
      </c>
      <c r="O399" s="355">
        <f t="shared" si="45"/>
        <v>0.61</v>
      </c>
      <c r="P399" s="355">
        <v>0.34620000000000001</v>
      </c>
      <c r="Q399" s="355">
        <v>0.69640000000000002</v>
      </c>
      <c r="R399" s="355">
        <v>0.6</v>
      </c>
      <c r="S399" s="355">
        <v>0.61</v>
      </c>
    </row>
    <row r="400" spans="1:19" s="80" customFormat="1">
      <c r="A400" s="79">
        <f t="shared" si="48"/>
        <v>49613</v>
      </c>
      <c r="B400" s="79">
        <f t="shared" si="47"/>
        <v>49978</v>
      </c>
      <c r="C400" s="88">
        <f t="shared" si="49"/>
        <v>0.26</v>
      </c>
      <c r="D400" s="88">
        <f t="shared" si="49"/>
        <v>0.27900000000000003</v>
      </c>
      <c r="E400" s="88">
        <f t="shared" si="49"/>
        <v>6.0999999999999999E-2</v>
      </c>
      <c r="F400" s="88">
        <f t="shared" si="49"/>
        <v>2.5999999999999999E-2</v>
      </c>
      <c r="G400" s="89">
        <v>0.26</v>
      </c>
      <c r="H400" s="89">
        <v>0.27900000000000003</v>
      </c>
      <c r="I400" s="89">
        <v>6.0999999999999999E-2</v>
      </c>
      <c r="J400" s="89">
        <v>2.5999999999999999E-2</v>
      </c>
      <c r="K400" s="78">
        <f>((10/3)*L398)+((2/3)*L410)</f>
        <v>36996</v>
      </c>
      <c r="L400" s="96"/>
      <c r="M400" s="355">
        <f t="shared" si="44"/>
        <v>0.6</v>
      </c>
      <c r="N400" s="355">
        <v>0.26</v>
      </c>
      <c r="O400" s="355">
        <f t="shared" si="45"/>
        <v>0.61</v>
      </c>
      <c r="P400" s="355">
        <v>0.34620000000000001</v>
      </c>
      <c r="Q400" s="355">
        <v>0.69640000000000002</v>
      </c>
      <c r="R400" s="355">
        <v>0.6</v>
      </c>
      <c r="S400" s="355">
        <v>0.61</v>
      </c>
    </row>
    <row r="401" spans="1:19" s="80" customFormat="1">
      <c r="A401" s="79">
        <f t="shared" si="48"/>
        <v>49643</v>
      </c>
      <c r="B401" s="79">
        <f t="shared" si="47"/>
        <v>50008</v>
      </c>
      <c r="C401" s="88">
        <f t="shared" si="49"/>
        <v>0.26</v>
      </c>
      <c r="D401" s="88">
        <f t="shared" si="49"/>
        <v>0.27900000000000003</v>
      </c>
      <c r="E401" s="88">
        <f t="shared" si="49"/>
        <v>6.0999999999999999E-2</v>
      </c>
      <c r="F401" s="88">
        <f t="shared" si="49"/>
        <v>2.5999999999999999E-2</v>
      </c>
      <c r="G401" s="89">
        <v>0.26</v>
      </c>
      <c r="H401" s="89">
        <v>0.27900000000000003</v>
      </c>
      <c r="I401" s="89">
        <v>6.0999999999999999E-2</v>
      </c>
      <c r="J401" s="89">
        <v>2.5999999999999999E-2</v>
      </c>
      <c r="K401" s="78">
        <f>((9/3)*L398)+((3/3)*L410)</f>
        <v>37149</v>
      </c>
      <c r="L401" s="96"/>
      <c r="M401" s="355">
        <f t="shared" si="44"/>
        <v>0.6</v>
      </c>
      <c r="N401" s="355">
        <v>0.26</v>
      </c>
      <c r="O401" s="355">
        <f t="shared" si="45"/>
        <v>0.61</v>
      </c>
      <c r="P401" s="355">
        <v>0.34620000000000001</v>
      </c>
      <c r="Q401" s="355">
        <v>0.69640000000000002</v>
      </c>
      <c r="R401" s="355">
        <v>0.6</v>
      </c>
      <c r="S401" s="355">
        <v>0.61</v>
      </c>
    </row>
    <row r="402" spans="1:19" s="80" customFormat="1">
      <c r="A402" s="79">
        <f t="shared" si="48"/>
        <v>49674</v>
      </c>
      <c r="B402" s="79">
        <f t="shared" si="47"/>
        <v>50039</v>
      </c>
      <c r="C402" s="88">
        <f t="shared" si="49"/>
        <v>0.26</v>
      </c>
      <c r="D402" s="88">
        <f t="shared" si="49"/>
        <v>0.27900000000000003</v>
      </c>
      <c r="E402" s="88">
        <f t="shared" si="49"/>
        <v>6.0999999999999999E-2</v>
      </c>
      <c r="F402" s="88">
        <f t="shared" si="49"/>
        <v>2.5999999999999999E-2</v>
      </c>
      <c r="G402" s="89">
        <v>0.26</v>
      </c>
      <c r="H402" s="89">
        <v>0.27900000000000003</v>
      </c>
      <c r="I402" s="89">
        <v>6.0999999999999999E-2</v>
      </c>
      <c r="J402" s="89">
        <v>2.5999999999999999E-2</v>
      </c>
      <c r="K402" s="78">
        <f>((8/3)*L398)+((4/3)*L410)</f>
        <v>37302</v>
      </c>
      <c r="L402" s="96"/>
      <c r="M402" s="355">
        <f t="shared" si="44"/>
        <v>0.6</v>
      </c>
      <c r="N402" s="355">
        <v>0.26</v>
      </c>
      <c r="O402" s="355">
        <f t="shared" si="45"/>
        <v>0.61</v>
      </c>
      <c r="P402" s="355">
        <v>0.34620000000000001</v>
      </c>
      <c r="Q402" s="355">
        <v>0.69640000000000002</v>
      </c>
      <c r="R402" s="355">
        <v>0.6</v>
      </c>
      <c r="S402" s="355">
        <v>0.61</v>
      </c>
    </row>
    <row r="403" spans="1:19" s="80" customFormat="1">
      <c r="A403" s="79">
        <f t="shared" si="48"/>
        <v>49705</v>
      </c>
      <c r="B403" s="79">
        <f t="shared" si="47"/>
        <v>50070</v>
      </c>
      <c r="C403" s="88">
        <f t="shared" ref="C403:F418" si="50">AVERAGE(G403:G414)</f>
        <v>0.26</v>
      </c>
      <c r="D403" s="88">
        <f t="shared" si="50"/>
        <v>0.27900000000000003</v>
      </c>
      <c r="E403" s="88">
        <f t="shared" si="50"/>
        <v>6.0999999999999999E-2</v>
      </c>
      <c r="F403" s="88">
        <f t="shared" si="50"/>
        <v>2.5999999999999999E-2</v>
      </c>
      <c r="G403" s="89">
        <v>0.26</v>
      </c>
      <c r="H403" s="89">
        <v>0.27900000000000003</v>
      </c>
      <c r="I403" s="89">
        <v>6.0999999999999999E-2</v>
      </c>
      <c r="J403" s="89">
        <v>2.5999999999999999E-2</v>
      </c>
      <c r="K403" s="78">
        <f>((7/3)*L398)+((5/3)*L410)</f>
        <v>37455</v>
      </c>
      <c r="L403" s="96"/>
      <c r="M403" s="355">
        <f t="shared" si="44"/>
        <v>0.6</v>
      </c>
      <c r="N403" s="355">
        <v>0.26</v>
      </c>
      <c r="O403" s="355">
        <f t="shared" si="45"/>
        <v>0.61</v>
      </c>
      <c r="P403" s="355">
        <v>0.34620000000000001</v>
      </c>
      <c r="Q403" s="355">
        <v>0.69640000000000002</v>
      </c>
      <c r="R403" s="355">
        <v>0.6</v>
      </c>
      <c r="S403" s="355">
        <v>0.61</v>
      </c>
    </row>
    <row r="404" spans="1:19" s="80" customFormat="1">
      <c r="A404" s="79">
        <f t="shared" si="48"/>
        <v>49734</v>
      </c>
      <c r="B404" s="79">
        <f t="shared" si="47"/>
        <v>50098</v>
      </c>
      <c r="C404" s="88">
        <f t="shared" si="50"/>
        <v>0.26</v>
      </c>
      <c r="D404" s="88">
        <f t="shared" si="50"/>
        <v>0.27900000000000003</v>
      </c>
      <c r="E404" s="88">
        <f t="shared" si="50"/>
        <v>6.0999999999999999E-2</v>
      </c>
      <c r="F404" s="88">
        <f t="shared" si="50"/>
        <v>2.5999999999999999E-2</v>
      </c>
      <c r="G404" s="89">
        <v>0.26</v>
      </c>
      <c r="H404" s="89">
        <v>0.27900000000000003</v>
      </c>
      <c r="I404" s="89">
        <v>6.0999999999999999E-2</v>
      </c>
      <c r="J404" s="89">
        <v>2.5999999999999999E-2</v>
      </c>
      <c r="K404" s="78">
        <f>((6/3)*L398)+((6/3)*L410)</f>
        <v>37608</v>
      </c>
      <c r="L404" s="96"/>
      <c r="M404" s="355">
        <f t="shared" si="44"/>
        <v>0.6</v>
      </c>
      <c r="N404" s="355">
        <v>0.26</v>
      </c>
      <c r="O404" s="355">
        <f t="shared" si="45"/>
        <v>0.61</v>
      </c>
      <c r="P404" s="355">
        <v>0.34620000000000001</v>
      </c>
      <c r="Q404" s="355">
        <v>0.69640000000000002</v>
      </c>
      <c r="R404" s="355">
        <v>0.6</v>
      </c>
      <c r="S404" s="355">
        <v>0.61</v>
      </c>
    </row>
    <row r="405" spans="1:19" s="80" customFormat="1">
      <c r="A405" s="79">
        <f t="shared" si="48"/>
        <v>49765</v>
      </c>
      <c r="B405" s="79">
        <f t="shared" si="47"/>
        <v>50129</v>
      </c>
      <c r="C405" s="88">
        <f t="shared" si="50"/>
        <v>0.26</v>
      </c>
      <c r="D405" s="88">
        <f t="shared" si="50"/>
        <v>0.27900000000000003</v>
      </c>
      <c r="E405" s="88">
        <f t="shared" si="50"/>
        <v>6.0999999999999999E-2</v>
      </c>
      <c r="F405" s="88">
        <f t="shared" si="50"/>
        <v>2.5999999999999999E-2</v>
      </c>
      <c r="G405" s="89">
        <v>0.26</v>
      </c>
      <c r="H405" s="89">
        <v>0.27900000000000003</v>
      </c>
      <c r="I405" s="89">
        <v>6.0999999999999999E-2</v>
      </c>
      <c r="J405" s="89">
        <v>2.5999999999999999E-2</v>
      </c>
      <c r="K405" s="78">
        <f>((5/3)*L398)+((7/3)*L410)</f>
        <v>37761</v>
      </c>
      <c r="L405" s="96"/>
      <c r="M405" s="355">
        <f t="shared" si="44"/>
        <v>0.6</v>
      </c>
      <c r="N405" s="355">
        <v>0.26</v>
      </c>
      <c r="O405" s="355">
        <f t="shared" si="45"/>
        <v>0.61</v>
      </c>
      <c r="P405" s="355">
        <v>0.34620000000000001</v>
      </c>
      <c r="Q405" s="355">
        <v>0.69640000000000002</v>
      </c>
      <c r="R405" s="355">
        <v>0.6</v>
      </c>
      <c r="S405" s="355">
        <v>0.61</v>
      </c>
    </row>
    <row r="406" spans="1:19" s="80" customFormat="1">
      <c r="A406" s="79">
        <f t="shared" si="48"/>
        <v>49795</v>
      </c>
      <c r="B406" s="79">
        <f t="shared" si="47"/>
        <v>50159</v>
      </c>
      <c r="C406" s="88">
        <f t="shared" si="50"/>
        <v>0.26</v>
      </c>
      <c r="D406" s="88">
        <f t="shared" si="50"/>
        <v>0.27900000000000003</v>
      </c>
      <c r="E406" s="88">
        <f t="shared" si="50"/>
        <v>6.0999999999999999E-2</v>
      </c>
      <c r="F406" s="88">
        <f t="shared" si="50"/>
        <v>2.5999999999999999E-2</v>
      </c>
      <c r="G406" s="89">
        <v>0.26</v>
      </c>
      <c r="H406" s="89">
        <v>0.27900000000000003</v>
      </c>
      <c r="I406" s="89">
        <v>6.0999999999999999E-2</v>
      </c>
      <c r="J406" s="89">
        <v>2.5999999999999999E-2</v>
      </c>
      <c r="K406" s="78">
        <f>((4/3)*L398)+((8/3)*L410)</f>
        <v>37914</v>
      </c>
      <c r="L406" s="96"/>
      <c r="M406" s="355">
        <f t="shared" si="44"/>
        <v>0.6</v>
      </c>
      <c r="N406" s="355">
        <v>0.26</v>
      </c>
      <c r="O406" s="355">
        <f t="shared" si="45"/>
        <v>0.61</v>
      </c>
      <c r="P406" s="355">
        <v>0.34620000000000001</v>
      </c>
      <c r="Q406" s="355">
        <v>0.69640000000000002</v>
      </c>
      <c r="R406" s="355">
        <v>0.6</v>
      </c>
      <c r="S406" s="355">
        <v>0.61</v>
      </c>
    </row>
    <row r="407" spans="1:19" s="80" customFormat="1">
      <c r="A407" s="79">
        <f t="shared" si="48"/>
        <v>49826</v>
      </c>
      <c r="B407" s="79">
        <f t="shared" si="47"/>
        <v>50190</v>
      </c>
      <c r="C407" s="88">
        <f t="shared" si="50"/>
        <v>0.26</v>
      </c>
      <c r="D407" s="88">
        <f t="shared" si="50"/>
        <v>0.27900000000000003</v>
      </c>
      <c r="E407" s="88">
        <f t="shared" si="50"/>
        <v>6.0999999999999999E-2</v>
      </c>
      <c r="F407" s="88">
        <f t="shared" si="50"/>
        <v>2.5999999999999999E-2</v>
      </c>
      <c r="G407" s="89">
        <v>0.26</v>
      </c>
      <c r="H407" s="89">
        <v>0.27900000000000003</v>
      </c>
      <c r="I407" s="89">
        <v>6.0999999999999999E-2</v>
      </c>
      <c r="J407" s="89">
        <v>2.5999999999999999E-2</v>
      </c>
      <c r="K407" s="78">
        <f>((3/3)*L398)+((9/3)*L410)</f>
        <v>38066</v>
      </c>
      <c r="L407" s="96"/>
      <c r="M407" s="355">
        <f t="shared" si="44"/>
        <v>0.6</v>
      </c>
      <c r="N407" s="355">
        <v>0.26</v>
      </c>
      <c r="O407" s="355">
        <f t="shared" si="45"/>
        <v>0.61</v>
      </c>
      <c r="P407" s="355">
        <v>0.34620000000000001</v>
      </c>
      <c r="Q407" s="355">
        <v>0.69640000000000002</v>
      </c>
      <c r="R407" s="355">
        <v>0.6</v>
      </c>
      <c r="S407" s="355">
        <v>0.61</v>
      </c>
    </row>
    <row r="408" spans="1:19" s="80" customFormat="1">
      <c r="A408" s="79">
        <f t="shared" si="48"/>
        <v>49856</v>
      </c>
      <c r="B408" s="79">
        <f t="shared" si="47"/>
        <v>50220</v>
      </c>
      <c r="C408" s="88">
        <f t="shared" si="50"/>
        <v>0.26</v>
      </c>
      <c r="D408" s="88">
        <f t="shared" si="50"/>
        <v>0.27900000000000003</v>
      </c>
      <c r="E408" s="88">
        <f t="shared" si="50"/>
        <v>6.0999999999999999E-2</v>
      </c>
      <c r="F408" s="88">
        <f t="shared" si="50"/>
        <v>2.5999999999999999E-2</v>
      </c>
      <c r="G408" s="89">
        <v>0.26</v>
      </c>
      <c r="H408" s="89">
        <v>0.27900000000000003</v>
      </c>
      <c r="I408" s="89">
        <v>6.0999999999999999E-2</v>
      </c>
      <c r="J408" s="89">
        <v>2.5999999999999999E-2</v>
      </c>
      <c r="K408" s="78">
        <f>((2/3)*L398)+((10/3)*L410)</f>
        <v>38219</v>
      </c>
      <c r="L408" s="96"/>
      <c r="M408" s="355">
        <f t="shared" si="44"/>
        <v>0.6</v>
      </c>
      <c r="N408" s="355">
        <v>0.26</v>
      </c>
      <c r="O408" s="355">
        <f t="shared" si="45"/>
        <v>0.61</v>
      </c>
      <c r="P408" s="355">
        <v>0.34620000000000001</v>
      </c>
      <c r="Q408" s="355">
        <v>0.69640000000000002</v>
      </c>
      <c r="R408" s="355">
        <v>0.6</v>
      </c>
      <c r="S408" s="355">
        <v>0.61</v>
      </c>
    </row>
    <row r="409" spans="1:19" s="80" customFormat="1">
      <c r="A409" s="79">
        <f t="shared" si="48"/>
        <v>49887</v>
      </c>
      <c r="B409" s="79">
        <f t="shared" si="47"/>
        <v>50251</v>
      </c>
      <c r="C409" s="88">
        <f t="shared" si="50"/>
        <v>0.26</v>
      </c>
      <c r="D409" s="88">
        <f t="shared" si="50"/>
        <v>0.27900000000000003</v>
      </c>
      <c r="E409" s="88">
        <f t="shared" si="50"/>
        <v>6.0999999999999999E-2</v>
      </c>
      <c r="F409" s="88">
        <f t="shared" si="50"/>
        <v>2.5999999999999999E-2</v>
      </c>
      <c r="G409" s="89">
        <v>0.26</v>
      </c>
      <c r="H409" s="89">
        <v>0.27900000000000003</v>
      </c>
      <c r="I409" s="89">
        <v>6.0999999999999999E-2</v>
      </c>
      <c r="J409" s="89">
        <v>2.5999999999999999E-2</v>
      </c>
      <c r="K409" s="78">
        <f>((1/3)*L398)+((11/3)*L410)</f>
        <v>38372</v>
      </c>
      <c r="L409" s="96"/>
      <c r="M409" s="355">
        <f t="shared" si="44"/>
        <v>0.6</v>
      </c>
      <c r="N409" s="355">
        <v>0.26</v>
      </c>
      <c r="O409" s="355">
        <f t="shared" si="45"/>
        <v>0.61</v>
      </c>
      <c r="P409" s="355">
        <v>0.34620000000000001</v>
      </c>
      <c r="Q409" s="355">
        <v>0.69640000000000002</v>
      </c>
      <c r="R409" s="355">
        <v>0.6</v>
      </c>
      <c r="S409" s="355">
        <v>0.61</v>
      </c>
    </row>
    <row r="410" spans="1:19">
      <c r="A410" s="19">
        <f t="shared" si="48"/>
        <v>49918</v>
      </c>
      <c r="B410" s="19">
        <f t="shared" si="47"/>
        <v>50282</v>
      </c>
      <c r="C410" s="86">
        <f t="shared" si="50"/>
        <v>0.26</v>
      </c>
      <c r="D410" s="86">
        <f t="shared" si="50"/>
        <v>0.27900000000000003</v>
      </c>
      <c r="E410" s="86">
        <f t="shared" si="50"/>
        <v>6.0999999999999999E-2</v>
      </c>
      <c r="F410" s="86">
        <f t="shared" si="50"/>
        <v>2.5999999999999999E-2</v>
      </c>
      <c r="G410" s="87">
        <v>0.26</v>
      </c>
      <c r="H410" s="87">
        <v>0.27900000000000003</v>
      </c>
      <c r="I410" s="87">
        <v>6.0999999999999999E-2</v>
      </c>
      <c r="J410" s="87">
        <v>2.5999999999999999E-2</v>
      </c>
      <c r="K410" s="25">
        <f>(L410*4)</f>
        <v>38525</v>
      </c>
      <c r="L410" s="95">
        <f>L398*1.05</f>
        <v>9631.27</v>
      </c>
      <c r="M410" s="82">
        <f t="shared" si="44"/>
        <v>0.6</v>
      </c>
      <c r="N410" s="82">
        <v>0.26</v>
      </c>
      <c r="O410" s="82">
        <f t="shared" si="45"/>
        <v>0.61</v>
      </c>
      <c r="P410" s="82">
        <v>0.34620000000000001</v>
      </c>
      <c r="Q410" s="82">
        <v>0.69640000000000002</v>
      </c>
      <c r="R410" s="82">
        <v>0.6</v>
      </c>
      <c r="S410" s="82">
        <v>0.61</v>
      </c>
    </row>
    <row r="411" spans="1:19">
      <c r="A411" s="19">
        <f t="shared" si="48"/>
        <v>49948</v>
      </c>
      <c r="B411" s="19">
        <f t="shared" si="47"/>
        <v>50312</v>
      </c>
      <c r="C411" s="86">
        <f t="shared" si="50"/>
        <v>0.26</v>
      </c>
      <c r="D411" s="86">
        <f t="shared" si="50"/>
        <v>0.27900000000000003</v>
      </c>
      <c r="E411" s="86">
        <f t="shared" si="50"/>
        <v>6.0999999999999999E-2</v>
      </c>
      <c r="F411" s="86">
        <f t="shared" si="50"/>
        <v>2.5999999999999999E-2</v>
      </c>
      <c r="G411" s="87">
        <v>0.26</v>
      </c>
      <c r="H411" s="87">
        <v>0.27900000000000003</v>
      </c>
      <c r="I411" s="87">
        <v>6.0999999999999999E-2</v>
      </c>
      <c r="J411" s="87">
        <v>2.5999999999999999E-2</v>
      </c>
      <c r="K411" s="25">
        <f>((11/3)*L410)+((1/3)*L422)</f>
        <v>38686</v>
      </c>
      <c r="L411" s="95"/>
      <c r="M411" s="82">
        <f t="shared" si="44"/>
        <v>0.6</v>
      </c>
      <c r="N411" s="82">
        <v>0.26</v>
      </c>
      <c r="O411" s="82">
        <f t="shared" si="45"/>
        <v>0.61</v>
      </c>
      <c r="P411" s="82">
        <v>0.34620000000000001</v>
      </c>
      <c r="Q411" s="82">
        <v>0.69640000000000002</v>
      </c>
      <c r="R411" s="82">
        <v>0.6</v>
      </c>
      <c r="S411" s="82">
        <v>0.61</v>
      </c>
    </row>
    <row r="412" spans="1:19">
      <c r="A412" s="19">
        <f t="shared" si="48"/>
        <v>49979</v>
      </c>
      <c r="B412" s="19">
        <f t="shared" si="47"/>
        <v>50343</v>
      </c>
      <c r="C412" s="86">
        <f t="shared" si="50"/>
        <v>0.26</v>
      </c>
      <c r="D412" s="86">
        <f t="shared" si="50"/>
        <v>0.27900000000000003</v>
      </c>
      <c r="E412" s="86">
        <f t="shared" si="50"/>
        <v>6.0999999999999999E-2</v>
      </c>
      <c r="F412" s="86">
        <f t="shared" si="50"/>
        <v>2.5999999999999999E-2</v>
      </c>
      <c r="G412" s="87">
        <v>0.26</v>
      </c>
      <c r="H412" s="87">
        <v>0.27900000000000003</v>
      </c>
      <c r="I412" s="87">
        <v>6.0999999999999999E-2</v>
      </c>
      <c r="J412" s="87">
        <v>2.5999999999999999E-2</v>
      </c>
      <c r="K412" s="25">
        <f>((10/3)*L410)+((2/3)*L422)</f>
        <v>38846</v>
      </c>
      <c r="L412" s="95"/>
      <c r="M412" s="82">
        <f t="shared" si="44"/>
        <v>0.6</v>
      </c>
      <c r="N412" s="82">
        <v>0.26</v>
      </c>
      <c r="O412" s="82">
        <f t="shared" si="45"/>
        <v>0.61</v>
      </c>
      <c r="P412" s="82">
        <v>0.34620000000000001</v>
      </c>
      <c r="Q412" s="82">
        <v>0.69640000000000002</v>
      </c>
      <c r="R412" s="82">
        <v>0.6</v>
      </c>
      <c r="S412" s="82">
        <v>0.61</v>
      </c>
    </row>
    <row r="413" spans="1:19">
      <c r="A413" s="19">
        <f t="shared" si="48"/>
        <v>50009</v>
      </c>
      <c r="B413" s="19">
        <f t="shared" si="47"/>
        <v>50373</v>
      </c>
      <c r="C413" s="86">
        <f t="shared" si="50"/>
        <v>0.26</v>
      </c>
      <c r="D413" s="86">
        <f t="shared" si="50"/>
        <v>0.27900000000000003</v>
      </c>
      <c r="E413" s="86">
        <f t="shared" si="50"/>
        <v>6.0999999999999999E-2</v>
      </c>
      <c r="F413" s="86">
        <f t="shared" si="50"/>
        <v>2.5999999999999999E-2</v>
      </c>
      <c r="G413" s="87">
        <v>0.26</v>
      </c>
      <c r="H413" s="87">
        <v>0.27900000000000003</v>
      </c>
      <c r="I413" s="87">
        <v>6.0999999999999999E-2</v>
      </c>
      <c r="J413" s="87">
        <v>2.5999999999999999E-2</v>
      </c>
      <c r="K413" s="25">
        <f>((9/3)*L410)+((3/3)*L422)</f>
        <v>39007</v>
      </c>
      <c r="L413" s="95"/>
      <c r="M413" s="82">
        <f t="shared" si="44"/>
        <v>0.6</v>
      </c>
      <c r="N413" s="82">
        <v>0.26</v>
      </c>
      <c r="O413" s="82">
        <f t="shared" si="45"/>
        <v>0.61</v>
      </c>
      <c r="P413" s="82">
        <v>0.34620000000000001</v>
      </c>
      <c r="Q413" s="82">
        <v>0.69640000000000002</v>
      </c>
      <c r="R413" s="82">
        <v>0.6</v>
      </c>
      <c r="S413" s="82">
        <v>0.61</v>
      </c>
    </row>
    <row r="414" spans="1:19">
      <c r="A414" s="19">
        <f t="shared" si="48"/>
        <v>50040</v>
      </c>
      <c r="B414" s="19">
        <f t="shared" si="47"/>
        <v>50404</v>
      </c>
      <c r="C414" s="86">
        <f t="shared" si="50"/>
        <v>0.26</v>
      </c>
      <c r="D414" s="86">
        <f t="shared" si="50"/>
        <v>0.27900000000000003</v>
      </c>
      <c r="E414" s="86">
        <f t="shared" si="50"/>
        <v>6.0999999999999999E-2</v>
      </c>
      <c r="F414" s="86">
        <f t="shared" si="50"/>
        <v>2.5999999999999999E-2</v>
      </c>
      <c r="G414" s="87">
        <v>0.26</v>
      </c>
      <c r="H414" s="87">
        <v>0.27900000000000003</v>
      </c>
      <c r="I414" s="87">
        <v>6.0999999999999999E-2</v>
      </c>
      <c r="J414" s="87">
        <v>2.5999999999999999E-2</v>
      </c>
      <c r="K414" s="25">
        <f>((8/3)*L410)+((4/3)*L422)</f>
        <v>39167</v>
      </c>
      <c r="L414" s="95"/>
      <c r="M414" s="82">
        <f t="shared" si="44"/>
        <v>0.6</v>
      </c>
      <c r="N414" s="82">
        <v>0.26</v>
      </c>
      <c r="O414" s="82">
        <f t="shared" si="45"/>
        <v>0.61</v>
      </c>
      <c r="P414" s="82">
        <v>0.34620000000000001</v>
      </c>
      <c r="Q414" s="82">
        <v>0.69640000000000002</v>
      </c>
      <c r="R414" s="82">
        <v>0.6</v>
      </c>
      <c r="S414" s="82">
        <v>0.61</v>
      </c>
    </row>
    <row r="415" spans="1:19">
      <c r="A415" s="19">
        <f t="shared" si="48"/>
        <v>50071</v>
      </c>
      <c r="B415" s="19">
        <f t="shared" si="47"/>
        <v>50435</v>
      </c>
      <c r="C415" s="86">
        <f t="shared" si="50"/>
        <v>0.26</v>
      </c>
      <c r="D415" s="86">
        <f t="shared" si="50"/>
        <v>0.27900000000000003</v>
      </c>
      <c r="E415" s="86">
        <f t="shared" si="50"/>
        <v>6.0999999999999999E-2</v>
      </c>
      <c r="F415" s="86">
        <f t="shared" si="50"/>
        <v>2.5999999999999999E-2</v>
      </c>
      <c r="G415" s="87">
        <v>0.26</v>
      </c>
      <c r="H415" s="87">
        <v>0.27900000000000003</v>
      </c>
      <c r="I415" s="87">
        <v>6.0999999999999999E-2</v>
      </c>
      <c r="J415" s="87">
        <v>2.5999999999999999E-2</v>
      </c>
      <c r="K415" s="25">
        <f>((7/3)*L410)+((5/3)*L422)</f>
        <v>39328</v>
      </c>
      <c r="L415" s="95"/>
      <c r="M415" s="82">
        <f t="shared" si="44"/>
        <v>0.6</v>
      </c>
      <c r="N415" s="82">
        <v>0.26</v>
      </c>
      <c r="O415" s="82">
        <f t="shared" si="45"/>
        <v>0.61</v>
      </c>
      <c r="P415" s="82">
        <v>0.34620000000000001</v>
      </c>
      <c r="Q415" s="82">
        <v>0.69640000000000002</v>
      </c>
      <c r="R415" s="82">
        <v>0.6</v>
      </c>
      <c r="S415" s="82">
        <v>0.61</v>
      </c>
    </row>
    <row r="416" spans="1:19">
      <c r="A416" s="19">
        <f t="shared" si="48"/>
        <v>50099</v>
      </c>
      <c r="B416" s="19">
        <f t="shared" si="47"/>
        <v>50463</v>
      </c>
      <c r="C416" s="86">
        <f t="shared" si="50"/>
        <v>0.26</v>
      </c>
      <c r="D416" s="86">
        <f t="shared" si="50"/>
        <v>0.27900000000000003</v>
      </c>
      <c r="E416" s="86">
        <f t="shared" si="50"/>
        <v>6.0999999999999999E-2</v>
      </c>
      <c r="F416" s="86">
        <f t="shared" si="50"/>
        <v>2.5999999999999999E-2</v>
      </c>
      <c r="G416" s="87">
        <v>0.26</v>
      </c>
      <c r="H416" s="87">
        <v>0.27900000000000003</v>
      </c>
      <c r="I416" s="87">
        <v>6.0999999999999999E-2</v>
      </c>
      <c r="J416" s="87">
        <v>2.5999999999999999E-2</v>
      </c>
      <c r="K416" s="25">
        <f>((6/3)*L410)+((6/3)*L422)</f>
        <v>39488</v>
      </c>
      <c r="L416" s="95"/>
      <c r="M416" s="82">
        <f t="shared" si="44"/>
        <v>0.6</v>
      </c>
      <c r="N416" s="82">
        <v>0.26</v>
      </c>
      <c r="O416" s="82">
        <f t="shared" si="45"/>
        <v>0.61</v>
      </c>
      <c r="P416" s="82">
        <v>0.34620000000000001</v>
      </c>
      <c r="Q416" s="82">
        <v>0.69640000000000002</v>
      </c>
      <c r="R416" s="82">
        <v>0.6</v>
      </c>
      <c r="S416" s="82">
        <v>0.61</v>
      </c>
    </row>
    <row r="417" spans="1:19">
      <c r="A417" s="19">
        <f t="shared" si="48"/>
        <v>50130</v>
      </c>
      <c r="B417" s="19">
        <f t="shared" si="47"/>
        <v>50494</v>
      </c>
      <c r="C417" s="86">
        <f t="shared" si="50"/>
        <v>0.26</v>
      </c>
      <c r="D417" s="86">
        <f t="shared" si="50"/>
        <v>0.27900000000000003</v>
      </c>
      <c r="E417" s="86">
        <f t="shared" si="50"/>
        <v>6.0999999999999999E-2</v>
      </c>
      <c r="F417" s="86">
        <f t="shared" si="50"/>
        <v>2.5999999999999999E-2</v>
      </c>
      <c r="G417" s="87">
        <v>0.26</v>
      </c>
      <c r="H417" s="87">
        <v>0.27900000000000003</v>
      </c>
      <c r="I417" s="87">
        <v>6.0999999999999999E-2</v>
      </c>
      <c r="J417" s="87">
        <v>2.5999999999999999E-2</v>
      </c>
      <c r="K417" s="25">
        <f>((5/3)*L410)+((7/3)*L422)</f>
        <v>39649</v>
      </c>
      <c r="L417" s="95"/>
      <c r="M417" s="82">
        <f t="shared" si="44"/>
        <v>0.6</v>
      </c>
      <c r="N417" s="82">
        <v>0.26</v>
      </c>
      <c r="O417" s="82">
        <f t="shared" si="45"/>
        <v>0.61</v>
      </c>
      <c r="P417" s="82">
        <v>0.34620000000000001</v>
      </c>
      <c r="Q417" s="82">
        <v>0.69640000000000002</v>
      </c>
      <c r="R417" s="82">
        <v>0.6</v>
      </c>
      <c r="S417" s="82">
        <v>0.61</v>
      </c>
    </row>
    <row r="418" spans="1:19">
      <c r="A418" s="19">
        <f t="shared" si="48"/>
        <v>50160</v>
      </c>
      <c r="B418" s="19">
        <f t="shared" si="47"/>
        <v>50524</v>
      </c>
      <c r="C418" s="86">
        <f t="shared" si="50"/>
        <v>0.26</v>
      </c>
      <c r="D418" s="86">
        <f t="shared" si="50"/>
        <v>0.27900000000000003</v>
      </c>
      <c r="E418" s="86">
        <f t="shared" si="50"/>
        <v>6.0999999999999999E-2</v>
      </c>
      <c r="F418" s="86">
        <f t="shared" si="50"/>
        <v>2.5999999999999999E-2</v>
      </c>
      <c r="G418" s="87">
        <v>0.26</v>
      </c>
      <c r="H418" s="87">
        <v>0.27900000000000003</v>
      </c>
      <c r="I418" s="87">
        <v>6.0999999999999999E-2</v>
      </c>
      <c r="J418" s="87">
        <v>2.5999999999999999E-2</v>
      </c>
      <c r="K418" s="25">
        <f>((4/3)*L410)+((8/3)*L422)</f>
        <v>39809</v>
      </c>
      <c r="L418" s="95"/>
      <c r="M418" s="82">
        <f t="shared" si="44"/>
        <v>0.6</v>
      </c>
      <c r="N418" s="82">
        <v>0.26</v>
      </c>
      <c r="O418" s="82">
        <f t="shared" si="45"/>
        <v>0.61</v>
      </c>
      <c r="P418" s="82">
        <v>0.34620000000000001</v>
      </c>
      <c r="Q418" s="82">
        <v>0.69640000000000002</v>
      </c>
      <c r="R418" s="82">
        <v>0.6</v>
      </c>
      <c r="S418" s="82">
        <v>0.61</v>
      </c>
    </row>
    <row r="419" spans="1:19">
      <c r="A419" s="19">
        <f t="shared" si="48"/>
        <v>50191</v>
      </c>
      <c r="B419" s="19">
        <f t="shared" si="47"/>
        <v>50555</v>
      </c>
      <c r="C419" s="86">
        <f t="shared" ref="C419:F434" si="51">AVERAGE(G419:G430)</f>
        <v>0.26</v>
      </c>
      <c r="D419" s="86">
        <f t="shared" si="51"/>
        <v>0.27900000000000003</v>
      </c>
      <c r="E419" s="86">
        <f t="shared" si="51"/>
        <v>6.0999999999999999E-2</v>
      </c>
      <c r="F419" s="86">
        <f t="shared" si="51"/>
        <v>2.5999999999999999E-2</v>
      </c>
      <c r="G419" s="87">
        <v>0.26</v>
      </c>
      <c r="H419" s="87">
        <v>0.27900000000000003</v>
      </c>
      <c r="I419" s="87">
        <v>6.0999999999999999E-2</v>
      </c>
      <c r="J419" s="87">
        <v>2.5999999999999999E-2</v>
      </c>
      <c r="K419" s="25">
        <f>((3/3)*L410)+((9/3)*L422)</f>
        <v>39970</v>
      </c>
      <c r="L419" s="95"/>
      <c r="M419" s="82">
        <f t="shared" si="44"/>
        <v>0.6</v>
      </c>
      <c r="N419" s="82">
        <v>0.26</v>
      </c>
      <c r="O419" s="82">
        <f t="shared" si="45"/>
        <v>0.61</v>
      </c>
      <c r="P419" s="82">
        <v>0.34620000000000001</v>
      </c>
      <c r="Q419" s="82">
        <v>0.69640000000000002</v>
      </c>
      <c r="R419" s="82">
        <v>0.6</v>
      </c>
      <c r="S419" s="82">
        <v>0.61</v>
      </c>
    </row>
    <row r="420" spans="1:19">
      <c r="A420" s="19">
        <f t="shared" si="48"/>
        <v>50221</v>
      </c>
      <c r="B420" s="19">
        <f t="shared" si="47"/>
        <v>50585</v>
      </c>
      <c r="C420" s="86">
        <f t="shared" si="51"/>
        <v>0.26</v>
      </c>
      <c r="D420" s="86">
        <f t="shared" si="51"/>
        <v>0.27900000000000003</v>
      </c>
      <c r="E420" s="86">
        <f t="shared" si="51"/>
        <v>6.0999999999999999E-2</v>
      </c>
      <c r="F420" s="86">
        <f t="shared" si="51"/>
        <v>2.5999999999999999E-2</v>
      </c>
      <c r="G420" s="87">
        <v>0.26</v>
      </c>
      <c r="H420" s="87">
        <v>0.27900000000000003</v>
      </c>
      <c r="I420" s="87">
        <v>6.0999999999999999E-2</v>
      </c>
      <c r="J420" s="87">
        <v>2.5999999999999999E-2</v>
      </c>
      <c r="K420" s="25">
        <f>((2/3)*L410)+((10/3)*L422)</f>
        <v>40130</v>
      </c>
      <c r="L420" s="95"/>
      <c r="M420" s="82">
        <f t="shared" si="44"/>
        <v>0.6</v>
      </c>
      <c r="N420" s="82">
        <v>0.26</v>
      </c>
      <c r="O420" s="82">
        <f t="shared" si="45"/>
        <v>0.61</v>
      </c>
      <c r="P420" s="82">
        <v>0.34620000000000001</v>
      </c>
      <c r="Q420" s="82">
        <v>0.69640000000000002</v>
      </c>
      <c r="R420" s="82">
        <v>0.6</v>
      </c>
      <c r="S420" s="82">
        <v>0.61</v>
      </c>
    </row>
    <row r="421" spans="1:19">
      <c r="A421" s="19">
        <f t="shared" si="48"/>
        <v>50252</v>
      </c>
      <c r="B421" s="19">
        <f t="shared" si="47"/>
        <v>50616</v>
      </c>
      <c r="C421" s="83">
        <f t="shared" si="51"/>
        <v>0.26</v>
      </c>
      <c r="D421" s="83">
        <f t="shared" si="51"/>
        <v>0.27900000000000003</v>
      </c>
      <c r="E421" s="83">
        <f t="shared" si="51"/>
        <v>6.0999999999999999E-2</v>
      </c>
      <c r="F421" s="83">
        <f t="shared" si="51"/>
        <v>2.5999999999999999E-2</v>
      </c>
      <c r="G421" s="87">
        <v>0.26</v>
      </c>
      <c r="H421" s="87">
        <v>0.27900000000000003</v>
      </c>
      <c r="I421" s="87">
        <v>6.0999999999999999E-2</v>
      </c>
      <c r="J421" s="87">
        <v>2.5999999999999999E-2</v>
      </c>
      <c r="K421" s="25">
        <f>((1/3)*L410)+((11/3)*L422)</f>
        <v>40291</v>
      </c>
      <c r="L421" s="95"/>
      <c r="M421" s="82">
        <f t="shared" si="44"/>
        <v>0.6</v>
      </c>
      <c r="N421" s="82">
        <v>0.26</v>
      </c>
      <c r="O421" s="82">
        <f t="shared" si="45"/>
        <v>0.61</v>
      </c>
      <c r="P421" s="82">
        <v>0.34620000000000001</v>
      </c>
      <c r="Q421" s="82">
        <v>0.69640000000000002</v>
      </c>
      <c r="R421" s="82">
        <v>0.6</v>
      </c>
      <c r="S421" s="82">
        <v>0.61</v>
      </c>
    </row>
    <row r="422" spans="1:19" s="80" customFormat="1">
      <c r="A422" s="79">
        <f t="shared" si="48"/>
        <v>50283</v>
      </c>
      <c r="B422" s="79">
        <f t="shared" si="47"/>
        <v>50647</v>
      </c>
      <c r="C422" s="88">
        <f t="shared" si="51"/>
        <v>0.26</v>
      </c>
      <c r="D422" s="88">
        <f t="shared" si="51"/>
        <v>0.27900000000000003</v>
      </c>
      <c r="E422" s="88">
        <f t="shared" si="51"/>
        <v>6.0999999999999999E-2</v>
      </c>
      <c r="F422" s="88">
        <f t="shared" si="51"/>
        <v>2.5999999999999999E-2</v>
      </c>
      <c r="G422" s="89">
        <v>0.26</v>
      </c>
      <c r="H422" s="89">
        <v>0.27900000000000003</v>
      </c>
      <c r="I422" s="89">
        <v>6.0999999999999999E-2</v>
      </c>
      <c r="J422" s="89">
        <v>2.5999999999999999E-2</v>
      </c>
      <c r="K422" s="78">
        <f>(L422*4)</f>
        <v>40451</v>
      </c>
      <c r="L422" s="96">
        <f>L410*1.05</f>
        <v>10112.83</v>
      </c>
      <c r="M422" s="355">
        <f t="shared" si="44"/>
        <v>0.6</v>
      </c>
      <c r="N422" s="355">
        <v>0.26</v>
      </c>
      <c r="O422" s="355">
        <f t="shared" si="45"/>
        <v>0.61</v>
      </c>
      <c r="P422" s="355">
        <v>0.34620000000000001</v>
      </c>
      <c r="Q422" s="355">
        <v>0.69640000000000002</v>
      </c>
      <c r="R422" s="355">
        <v>0.6</v>
      </c>
      <c r="S422" s="355">
        <v>0.61</v>
      </c>
    </row>
    <row r="423" spans="1:19" s="80" customFormat="1">
      <c r="A423" s="79">
        <f t="shared" si="48"/>
        <v>50313</v>
      </c>
      <c r="B423" s="79">
        <f t="shared" si="47"/>
        <v>50677</v>
      </c>
      <c r="C423" s="88">
        <f t="shared" si="51"/>
        <v>0.26</v>
      </c>
      <c r="D423" s="88">
        <f t="shared" si="51"/>
        <v>0.27900000000000003</v>
      </c>
      <c r="E423" s="88">
        <f t="shared" si="51"/>
        <v>6.0999999999999999E-2</v>
      </c>
      <c r="F423" s="88">
        <f t="shared" si="51"/>
        <v>2.5999999999999999E-2</v>
      </c>
      <c r="G423" s="89">
        <v>0.26</v>
      </c>
      <c r="H423" s="89">
        <v>0.27900000000000003</v>
      </c>
      <c r="I423" s="89">
        <v>6.0999999999999999E-2</v>
      </c>
      <c r="J423" s="89">
        <v>2.5999999999999999E-2</v>
      </c>
      <c r="K423" s="78">
        <f>((11/3)*L422)+((1/3)*L434)</f>
        <v>40620</v>
      </c>
      <c r="L423" s="96"/>
      <c r="M423" s="355">
        <f t="shared" si="44"/>
        <v>0.6</v>
      </c>
      <c r="N423" s="355">
        <v>0.26</v>
      </c>
      <c r="O423" s="355">
        <f t="shared" si="45"/>
        <v>0.61</v>
      </c>
      <c r="P423" s="355">
        <v>0.34620000000000001</v>
      </c>
      <c r="Q423" s="355">
        <v>0.69640000000000002</v>
      </c>
      <c r="R423" s="355">
        <v>0.6</v>
      </c>
      <c r="S423" s="355">
        <v>0.61</v>
      </c>
    </row>
    <row r="424" spans="1:19" s="80" customFormat="1">
      <c r="A424" s="79">
        <f t="shared" si="48"/>
        <v>50344</v>
      </c>
      <c r="B424" s="79">
        <f t="shared" si="47"/>
        <v>50708</v>
      </c>
      <c r="C424" s="88">
        <f t="shared" si="51"/>
        <v>0.26</v>
      </c>
      <c r="D424" s="88">
        <f t="shared" si="51"/>
        <v>0.27900000000000003</v>
      </c>
      <c r="E424" s="88">
        <f t="shared" si="51"/>
        <v>6.0999999999999999E-2</v>
      </c>
      <c r="F424" s="88">
        <f t="shared" si="51"/>
        <v>2.5999999999999999E-2</v>
      </c>
      <c r="G424" s="89">
        <v>0.26</v>
      </c>
      <c r="H424" s="89">
        <v>0.27900000000000003</v>
      </c>
      <c r="I424" s="89">
        <v>6.0999999999999999E-2</v>
      </c>
      <c r="J424" s="89">
        <v>2.5999999999999999E-2</v>
      </c>
      <c r="K424" s="78">
        <f>((10/3)*L422)+((2/3)*L434)</f>
        <v>40788</v>
      </c>
      <c r="L424" s="96"/>
      <c r="M424" s="355">
        <f t="shared" si="44"/>
        <v>0.6</v>
      </c>
      <c r="N424" s="355">
        <v>0.26</v>
      </c>
      <c r="O424" s="355">
        <f t="shared" si="45"/>
        <v>0.61</v>
      </c>
      <c r="P424" s="355">
        <v>0.34620000000000001</v>
      </c>
      <c r="Q424" s="355">
        <v>0.69640000000000002</v>
      </c>
      <c r="R424" s="355">
        <v>0.6</v>
      </c>
      <c r="S424" s="355">
        <v>0.61</v>
      </c>
    </row>
    <row r="425" spans="1:19" s="80" customFormat="1">
      <c r="A425" s="79">
        <f t="shared" si="48"/>
        <v>50374</v>
      </c>
      <c r="B425" s="79">
        <f t="shared" si="47"/>
        <v>50738</v>
      </c>
      <c r="C425" s="88">
        <f t="shared" si="51"/>
        <v>0.26</v>
      </c>
      <c r="D425" s="88">
        <f t="shared" si="51"/>
        <v>0.27900000000000003</v>
      </c>
      <c r="E425" s="88">
        <f t="shared" si="51"/>
        <v>6.0999999999999999E-2</v>
      </c>
      <c r="F425" s="88">
        <f t="shared" si="51"/>
        <v>2.5999999999999999E-2</v>
      </c>
      <c r="G425" s="89">
        <v>0.26</v>
      </c>
      <c r="H425" s="89">
        <v>0.27900000000000003</v>
      </c>
      <c r="I425" s="89">
        <v>6.0999999999999999E-2</v>
      </c>
      <c r="J425" s="89">
        <v>2.5999999999999999E-2</v>
      </c>
      <c r="K425" s="78">
        <f>((9/3)*L422)+((3/3)*L434)</f>
        <v>40957</v>
      </c>
      <c r="L425" s="96"/>
      <c r="M425" s="355">
        <f t="shared" si="44"/>
        <v>0.6</v>
      </c>
      <c r="N425" s="355">
        <v>0.26</v>
      </c>
      <c r="O425" s="355">
        <f t="shared" si="45"/>
        <v>0.61</v>
      </c>
      <c r="P425" s="355">
        <v>0.34620000000000001</v>
      </c>
      <c r="Q425" s="355">
        <v>0.69640000000000002</v>
      </c>
      <c r="R425" s="355">
        <v>0.6</v>
      </c>
      <c r="S425" s="355">
        <v>0.61</v>
      </c>
    </row>
    <row r="426" spans="1:19" s="80" customFormat="1">
      <c r="A426" s="79">
        <f t="shared" si="48"/>
        <v>50405</v>
      </c>
      <c r="B426" s="79">
        <f t="shared" si="47"/>
        <v>50769</v>
      </c>
      <c r="C426" s="88">
        <f t="shared" si="51"/>
        <v>0.26</v>
      </c>
      <c r="D426" s="88">
        <f t="shared" si="51"/>
        <v>0.27900000000000003</v>
      </c>
      <c r="E426" s="88">
        <f t="shared" si="51"/>
        <v>6.0999999999999999E-2</v>
      </c>
      <c r="F426" s="88">
        <f t="shared" si="51"/>
        <v>2.5999999999999999E-2</v>
      </c>
      <c r="G426" s="89">
        <v>0.26</v>
      </c>
      <c r="H426" s="89">
        <v>0.27900000000000003</v>
      </c>
      <c r="I426" s="89">
        <v>6.0999999999999999E-2</v>
      </c>
      <c r="J426" s="89">
        <v>2.5999999999999999E-2</v>
      </c>
      <c r="K426" s="78">
        <f>((8/3)*L422)+((4/3)*L434)</f>
        <v>41126</v>
      </c>
      <c r="L426" s="96"/>
      <c r="M426" s="355">
        <f t="shared" si="44"/>
        <v>0.6</v>
      </c>
      <c r="N426" s="355">
        <v>0.26</v>
      </c>
      <c r="O426" s="355">
        <f t="shared" si="45"/>
        <v>0.61</v>
      </c>
      <c r="P426" s="355">
        <v>0.34620000000000001</v>
      </c>
      <c r="Q426" s="355">
        <v>0.69640000000000002</v>
      </c>
      <c r="R426" s="355">
        <v>0.6</v>
      </c>
      <c r="S426" s="355">
        <v>0.61</v>
      </c>
    </row>
    <row r="427" spans="1:19" s="80" customFormat="1">
      <c r="A427" s="79">
        <f t="shared" si="48"/>
        <v>50436</v>
      </c>
      <c r="B427" s="79">
        <f t="shared" si="47"/>
        <v>50800</v>
      </c>
      <c r="C427" s="88">
        <f t="shared" si="51"/>
        <v>0.26</v>
      </c>
      <c r="D427" s="88">
        <f t="shared" si="51"/>
        <v>0.27900000000000003</v>
      </c>
      <c r="E427" s="88">
        <f t="shared" si="51"/>
        <v>6.0999999999999999E-2</v>
      </c>
      <c r="F427" s="88">
        <f t="shared" si="51"/>
        <v>2.5999999999999999E-2</v>
      </c>
      <c r="G427" s="89">
        <v>0.26</v>
      </c>
      <c r="H427" s="89">
        <v>0.27900000000000003</v>
      </c>
      <c r="I427" s="89">
        <v>6.0999999999999999E-2</v>
      </c>
      <c r="J427" s="89">
        <v>2.5999999999999999E-2</v>
      </c>
      <c r="K427" s="78">
        <f>((7/3)*L422)+((5/3)*L434)</f>
        <v>41294</v>
      </c>
      <c r="L427" s="96"/>
      <c r="M427" s="355">
        <f t="shared" si="44"/>
        <v>0.6</v>
      </c>
      <c r="N427" s="355">
        <v>0.26</v>
      </c>
      <c r="O427" s="355">
        <f t="shared" si="45"/>
        <v>0.61</v>
      </c>
      <c r="P427" s="355">
        <v>0.34620000000000001</v>
      </c>
      <c r="Q427" s="355">
        <v>0.69640000000000002</v>
      </c>
      <c r="R427" s="355">
        <v>0.6</v>
      </c>
      <c r="S427" s="355">
        <v>0.61</v>
      </c>
    </row>
    <row r="428" spans="1:19" s="80" customFormat="1">
      <c r="A428" s="79">
        <f t="shared" si="48"/>
        <v>50464</v>
      </c>
      <c r="B428" s="79">
        <f t="shared" si="47"/>
        <v>50828</v>
      </c>
      <c r="C428" s="88">
        <f t="shared" si="51"/>
        <v>0.26</v>
      </c>
      <c r="D428" s="88">
        <f t="shared" si="51"/>
        <v>0.27900000000000003</v>
      </c>
      <c r="E428" s="88">
        <f t="shared" si="51"/>
        <v>6.0999999999999999E-2</v>
      </c>
      <c r="F428" s="88">
        <f t="shared" si="51"/>
        <v>2.5999999999999999E-2</v>
      </c>
      <c r="G428" s="89">
        <v>0.26</v>
      </c>
      <c r="H428" s="89">
        <v>0.27900000000000003</v>
      </c>
      <c r="I428" s="89">
        <v>6.0999999999999999E-2</v>
      </c>
      <c r="J428" s="89">
        <v>2.5999999999999999E-2</v>
      </c>
      <c r="K428" s="78">
        <f>((6/3)*L422)+((6/3)*L434)</f>
        <v>41463</v>
      </c>
      <c r="L428" s="96"/>
      <c r="M428" s="355">
        <f t="shared" si="44"/>
        <v>0.6</v>
      </c>
      <c r="N428" s="355">
        <v>0.26</v>
      </c>
      <c r="O428" s="355">
        <f t="shared" si="45"/>
        <v>0.61</v>
      </c>
      <c r="P428" s="355">
        <v>0.34620000000000001</v>
      </c>
      <c r="Q428" s="355">
        <v>0.69640000000000002</v>
      </c>
      <c r="R428" s="355">
        <v>0.6</v>
      </c>
      <c r="S428" s="355">
        <v>0.61</v>
      </c>
    </row>
    <row r="429" spans="1:19" s="80" customFormat="1">
      <c r="A429" s="79">
        <f t="shared" si="48"/>
        <v>50495</v>
      </c>
      <c r="B429" s="79">
        <f t="shared" si="47"/>
        <v>50859</v>
      </c>
      <c r="C429" s="88">
        <f t="shared" si="51"/>
        <v>0.26</v>
      </c>
      <c r="D429" s="88">
        <f t="shared" si="51"/>
        <v>0.27900000000000003</v>
      </c>
      <c r="E429" s="88">
        <f t="shared" si="51"/>
        <v>6.0999999999999999E-2</v>
      </c>
      <c r="F429" s="88">
        <f t="shared" si="51"/>
        <v>2.5999999999999999E-2</v>
      </c>
      <c r="G429" s="89">
        <v>0.26</v>
      </c>
      <c r="H429" s="89">
        <v>0.27900000000000003</v>
      </c>
      <c r="I429" s="89">
        <v>6.0999999999999999E-2</v>
      </c>
      <c r="J429" s="89">
        <v>2.5999999999999999E-2</v>
      </c>
      <c r="K429" s="78">
        <f>((5/3)*L422)+((7/3)*L434)</f>
        <v>41631</v>
      </c>
      <c r="L429" s="96"/>
      <c r="M429" s="355">
        <f t="shared" si="44"/>
        <v>0.6</v>
      </c>
      <c r="N429" s="355">
        <v>0.26</v>
      </c>
      <c r="O429" s="355">
        <f t="shared" si="45"/>
        <v>0.61</v>
      </c>
      <c r="P429" s="355">
        <v>0.34620000000000001</v>
      </c>
      <c r="Q429" s="355">
        <v>0.69640000000000002</v>
      </c>
      <c r="R429" s="355">
        <v>0.6</v>
      </c>
      <c r="S429" s="355">
        <v>0.61</v>
      </c>
    </row>
    <row r="430" spans="1:19" s="80" customFormat="1">
      <c r="A430" s="79">
        <f t="shared" si="48"/>
        <v>50525</v>
      </c>
      <c r="B430" s="79">
        <f t="shared" si="47"/>
        <v>50889</v>
      </c>
      <c r="C430" s="88">
        <f t="shared" si="51"/>
        <v>0.26</v>
      </c>
      <c r="D430" s="88">
        <f t="shared" si="51"/>
        <v>0.27900000000000003</v>
      </c>
      <c r="E430" s="88">
        <f t="shared" si="51"/>
        <v>6.0999999999999999E-2</v>
      </c>
      <c r="F430" s="88">
        <f t="shared" si="51"/>
        <v>2.5999999999999999E-2</v>
      </c>
      <c r="G430" s="89">
        <v>0.26</v>
      </c>
      <c r="H430" s="89">
        <v>0.27900000000000003</v>
      </c>
      <c r="I430" s="89">
        <v>6.0999999999999999E-2</v>
      </c>
      <c r="J430" s="89">
        <v>2.5999999999999999E-2</v>
      </c>
      <c r="K430" s="78">
        <f>((4/3)*L422)+((8/3)*L434)</f>
        <v>41800</v>
      </c>
      <c r="L430" s="96"/>
      <c r="M430" s="355">
        <f t="shared" si="44"/>
        <v>0.6</v>
      </c>
      <c r="N430" s="355">
        <v>0.26</v>
      </c>
      <c r="O430" s="355">
        <f t="shared" si="45"/>
        <v>0.61</v>
      </c>
      <c r="P430" s="355">
        <v>0.34620000000000001</v>
      </c>
      <c r="Q430" s="355">
        <v>0.69640000000000002</v>
      </c>
      <c r="R430" s="355">
        <v>0.6</v>
      </c>
      <c r="S430" s="355">
        <v>0.61</v>
      </c>
    </row>
    <row r="431" spans="1:19" s="80" customFormat="1">
      <c r="A431" s="79">
        <f t="shared" si="48"/>
        <v>50556</v>
      </c>
      <c r="B431" s="79">
        <f t="shared" si="47"/>
        <v>50920</v>
      </c>
      <c r="C431" s="88">
        <f t="shared" si="51"/>
        <v>0.26</v>
      </c>
      <c r="D431" s="88">
        <f t="shared" si="51"/>
        <v>0.27900000000000003</v>
      </c>
      <c r="E431" s="88">
        <f t="shared" si="51"/>
        <v>6.0999999999999999E-2</v>
      </c>
      <c r="F431" s="88">
        <f t="shared" si="51"/>
        <v>2.5999999999999999E-2</v>
      </c>
      <c r="G431" s="89">
        <v>0.26</v>
      </c>
      <c r="H431" s="89">
        <v>0.27900000000000003</v>
      </c>
      <c r="I431" s="89">
        <v>6.0999999999999999E-2</v>
      </c>
      <c r="J431" s="89">
        <v>2.5999999999999999E-2</v>
      </c>
      <c r="K431" s="78">
        <f>((3/3)*L422)+((9/3)*L434)</f>
        <v>41968</v>
      </c>
      <c r="L431" s="96"/>
      <c r="M431" s="355">
        <f t="shared" ref="M431:M494" si="52">AVERAGE(R431:R442)</f>
        <v>0.6</v>
      </c>
      <c r="N431" s="355">
        <v>0.26</v>
      </c>
      <c r="O431" s="355">
        <f t="shared" ref="O431:O494" si="53">AVERAGE(S431:S442)</f>
        <v>0.61</v>
      </c>
      <c r="P431" s="355">
        <v>0.34620000000000001</v>
      </c>
      <c r="Q431" s="355">
        <v>0.69640000000000002</v>
      </c>
      <c r="R431" s="355">
        <v>0.6</v>
      </c>
      <c r="S431" s="355">
        <v>0.61</v>
      </c>
    </row>
    <row r="432" spans="1:19" s="80" customFormat="1">
      <c r="A432" s="79">
        <f t="shared" si="48"/>
        <v>50586</v>
      </c>
      <c r="B432" s="79">
        <f t="shared" si="47"/>
        <v>50950</v>
      </c>
      <c r="C432" s="88">
        <f t="shared" si="51"/>
        <v>0.26</v>
      </c>
      <c r="D432" s="88">
        <f t="shared" si="51"/>
        <v>0.27900000000000003</v>
      </c>
      <c r="E432" s="88">
        <f t="shared" si="51"/>
        <v>6.0999999999999999E-2</v>
      </c>
      <c r="F432" s="88">
        <f t="shared" si="51"/>
        <v>2.5999999999999999E-2</v>
      </c>
      <c r="G432" s="89">
        <v>0.26</v>
      </c>
      <c r="H432" s="89">
        <v>0.27900000000000003</v>
      </c>
      <c r="I432" s="89">
        <v>6.0999999999999999E-2</v>
      </c>
      <c r="J432" s="89">
        <v>2.5999999999999999E-2</v>
      </c>
      <c r="K432" s="78">
        <f>((2/3)*L422)+((10/3)*L434)</f>
        <v>42137</v>
      </c>
      <c r="L432" s="96"/>
      <c r="M432" s="355">
        <f t="shared" si="52"/>
        <v>0.6</v>
      </c>
      <c r="N432" s="355">
        <v>0.26</v>
      </c>
      <c r="O432" s="355">
        <f t="shared" si="53"/>
        <v>0.61</v>
      </c>
      <c r="P432" s="355">
        <v>0.34620000000000001</v>
      </c>
      <c r="Q432" s="355">
        <v>0.69640000000000002</v>
      </c>
      <c r="R432" s="355">
        <v>0.6</v>
      </c>
      <c r="S432" s="355">
        <v>0.61</v>
      </c>
    </row>
    <row r="433" spans="1:19" s="80" customFormat="1">
      <c r="A433" s="79">
        <f t="shared" si="48"/>
        <v>50617</v>
      </c>
      <c r="B433" s="79">
        <f t="shared" si="47"/>
        <v>50981</v>
      </c>
      <c r="C433" s="88">
        <f t="shared" si="51"/>
        <v>0.26</v>
      </c>
      <c r="D433" s="88">
        <f t="shared" si="51"/>
        <v>0.27900000000000003</v>
      </c>
      <c r="E433" s="88">
        <f t="shared" si="51"/>
        <v>6.0999999999999999E-2</v>
      </c>
      <c r="F433" s="88">
        <f t="shared" si="51"/>
        <v>2.5999999999999999E-2</v>
      </c>
      <c r="G433" s="89">
        <v>0.26</v>
      </c>
      <c r="H433" s="89">
        <v>0.27900000000000003</v>
      </c>
      <c r="I433" s="89">
        <v>6.0999999999999999E-2</v>
      </c>
      <c r="J433" s="89">
        <v>2.5999999999999999E-2</v>
      </c>
      <c r="K433" s="78">
        <f>((1/3)*L422)+((11/3)*L434)</f>
        <v>42305</v>
      </c>
      <c r="L433" s="96"/>
      <c r="M433" s="355">
        <f t="shared" si="52"/>
        <v>0.6</v>
      </c>
      <c r="N433" s="355">
        <v>0.26</v>
      </c>
      <c r="O433" s="355">
        <f t="shared" si="53"/>
        <v>0.61</v>
      </c>
      <c r="P433" s="355">
        <v>0.34620000000000001</v>
      </c>
      <c r="Q433" s="355">
        <v>0.69640000000000002</v>
      </c>
      <c r="R433" s="355">
        <v>0.6</v>
      </c>
      <c r="S433" s="355">
        <v>0.61</v>
      </c>
    </row>
    <row r="434" spans="1:19">
      <c r="A434" s="19">
        <f t="shared" si="48"/>
        <v>50648</v>
      </c>
      <c r="B434" s="19">
        <f t="shared" si="47"/>
        <v>51012</v>
      </c>
      <c r="C434" s="86">
        <f t="shared" si="51"/>
        <v>0.26</v>
      </c>
      <c r="D434" s="86">
        <f t="shared" si="51"/>
        <v>0.27900000000000003</v>
      </c>
      <c r="E434" s="86">
        <f t="shared" si="51"/>
        <v>6.0999999999999999E-2</v>
      </c>
      <c r="F434" s="86">
        <f t="shared" si="51"/>
        <v>2.5999999999999999E-2</v>
      </c>
      <c r="G434" s="87">
        <v>0.26</v>
      </c>
      <c r="H434" s="87">
        <v>0.27900000000000003</v>
      </c>
      <c r="I434" s="87">
        <v>6.0999999999999999E-2</v>
      </c>
      <c r="J434" s="87">
        <v>2.5999999999999999E-2</v>
      </c>
      <c r="K434" s="25">
        <f>(L434*4)</f>
        <v>42474</v>
      </c>
      <c r="L434" s="95">
        <f>L422*1.05</f>
        <v>10618.47</v>
      </c>
      <c r="M434" s="82">
        <f t="shared" si="52"/>
        <v>0.6</v>
      </c>
      <c r="N434" s="82">
        <v>0.26</v>
      </c>
      <c r="O434" s="82">
        <f t="shared" si="53"/>
        <v>0.61</v>
      </c>
      <c r="P434" s="82">
        <v>0.34620000000000001</v>
      </c>
      <c r="Q434" s="82">
        <v>0.69640000000000002</v>
      </c>
      <c r="R434" s="82">
        <v>0.6</v>
      </c>
      <c r="S434" s="82">
        <v>0.61</v>
      </c>
    </row>
    <row r="435" spans="1:19">
      <c r="A435" s="19">
        <f t="shared" si="48"/>
        <v>50678</v>
      </c>
      <c r="B435" s="19">
        <f t="shared" si="47"/>
        <v>51042</v>
      </c>
      <c r="C435" s="86">
        <f t="shared" ref="C435:F450" si="54">AVERAGE(G435:G446)</f>
        <v>0.26</v>
      </c>
      <c r="D435" s="86">
        <f t="shared" si="54"/>
        <v>0.27900000000000003</v>
      </c>
      <c r="E435" s="86">
        <f t="shared" si="54"/>
        <v>6.0999999999999999E-2</v>
      </c>
      <c r="F435" s="86">
        <f t="shared" si="54"/>
        <v>2.5999999999999999E-2</v>
      </c>
      <c r="G435" s="87">
        <v>0.26</v>
      </c>
      <c r="H435" s="87">
        <v>0.27900000000000003</v>
      </c>
      <c r="I435" s="87">
        <v>6.0999999999999999E-2</v>
      </c>
      <c r="J435" s="87">
        <v>2.5999999999999999E-2</v>
      </c>
      <c r="K435" s="25">
        <f>((11/3)*L434)+((1/3)*L446)</f>
        <v>42651</v>
      </c>
      <c r="L435" s="95"/>
      <c r="M435" s="82">
        <f t="shared" si="52"/>
        <v>0.6</v>
      </c>
      <c r="N435" s="82">
        <v>0.26</v>
      </c>
      <c r="O435" s="82">
        <f t="shared" si="53"/>
        <v>0.61</v>
      </c>
      <c r="P435" s="82">
        <v>0.34620000000000001</v>
      </c>
      <c r="Q435" s="82">
        <v>0.69640000000000002</v>
      </c>
      <c r="R435" s="82">
        <v>0.6</v>
      </c>
      <c r="S435" s="82">
        <v>0.61</v>
      </c>
    </row>
    <row r="436" spans="1:19">
      <c r="A436" s="19">
        <f t="shared" si="48"/>
        <v>50709</v>
      </c>
      <c r="B436" s="19">
        <f t="shared" si="47"/>
        <v>51073</v>
      </c>
      <c r="C436" s="86">
        <f t="shared" si="54"/>
        <v>0.26</v>
      </c>
      <c r="D436" s="86">
        <f t="shared" si="54"/>
        <v>0.27900000000000003</v>
      </c>
      <c r="E436" s="86">
        <f t="shared" si="54"/>
        <v>6.0999999999999999E-2</v>
      </c>
      <c r="F436" s="86">
        <f t="shared" si="54"/>
        <v>2.5999999999999999E-2</v>
      </c>
      <c r="G436" s="87">
        <v>0.26</v>
      </c>
      <c r="H436" s="87">
        <v>0.27900000000000003</v>
      </c>
      <c r="I436" s="87">
        <v>6.0999999999999999E-2</v>
      </c>
      <c r="J436" s="87">
        <v>2.5999999999999999E-2</v>
      </c>
      <c r="K436" s="25">
        <f>((10/3)*L434)+((2/3)*L446)</f>
        <v>42828</v>
      </c>
      <c r="L436" s="95"/>
      <c r="M436" s="82">
        <f t="shared" si="52"/>
        <v>0.6</v>
      </c>
      <c r="N436" s="82">
        <v>0.26</v>
      </c>
      <c r="O436" s="82">
        <f t="shared" si="53"/>
        <v>0.61</v>
      </c>
      <c r="P436" s="82">
        <v>0.34620000000000001</v>
      </c>
      <c r="Q436" s="82">
        <v>0.69640000000000002</v>
      </c>
      <c r="R436" s="82">
        <v>0.6</v>
      </c>
      <c r="S436" s="82">
        <v>0.61</v>
      </c>
    </row>
    <row r="437" spans="1:19">
      <c r="A437" s="19">
        <f t="shared" si="48"/>
        <v>50739</v>
      </c>
      <c r="B437" s="19">
        <f t="shared" si="47"/>
        <v>51103</v>
      </c>
      <c r="C437" s="86">
        <f t="shared" si="54"/>
        <v>0.26</v>
      </c>
      <c r="D437" s="86">
        <f t="shared" si="54"/>
        <v>0.27900000000000003</v>
      </c>
      <c r="E437" s="86">
        <f t="shared" si="54"/>
        <v>6.0999999999999999E-2</v>
      </c>
      <c r="F437" s="86">
        <f t="shared" si="54"/>
        <v>2.5999999999999999E-2</v>
      </c>
      <c r="G437" s="87">
        <v>0.26</v>
      </c>
      <c r="H437" s="87">
        <v>0.27900000000000003</v>
      </c>
      <c r="I437" s="87">
        <v>6.0999999999999999E-2</v>
      </c>
      <c r="J437" s="87">
        <v>2.5999999999999999E-2</v>
      </c>
      <c r="K437" s="25">
        <f>((9/3)*L434)+((3/3)*L446)</f>
        <v>43005</v>
      </c>
      <c r="L437" s="95"/>
      <c r="M437" s="82">
        <f t="shared" si="52"/>
        <v>0.6</v>
      </c>
      <c r="N437" s="82">
        <v>0.26</v>
      </c>
      <c r="O437" s="82">
        <f t="shared" si="53"/>
        <v>0.61</v>
      </c>
      <c r="P437" s="82">
        <v>0.34620000000000001</v>
      </c>
      <c r="Q437" s="82">
        <v>0.69640000000000002</v>
      </c>
      <c r="R437" s="82">
        <v>0.6</v>
      </c>
      <c r="S437" s="82">
        <v>0.61</v>
      </c>
    </row>
    <row r="438" spans="1:19">
      <c r="A438" s="19">
        <f t="shared" si="48"/>
        <v>50770</v>
      </c>
      <c r="B438" s="19">
        <f t="shared" si="47"/>
        <v>51134</v>
      </c>
      <c r="C438" s="86">
        <f t="shared" si="54"/>
        <v>0.26</v>
      </c>
      <c r="D438" s="86">
        <f t="shared" si="54"/>
        <v>0.27900000000000003</v>
      </c>
      <c r="E438" s="86">
        <f t="shared" si="54"/>
        <v>6.0999999999999999E-2</v>
      </c>
      <c r="F438" s="86">
        <f t="shared" si="54"/>
        <v>2.5999999999999999E-2</v>
      </c>
      <c r="G438" s="87">
        <v>0.26</v>
      </c>
      <c r="H438" s="87">
        <v>0.27900000000000003</v>
      </c>
      <c r="I438" s="87">
        <v>6.0999999999999999E-2</v>
      </c>
      <c r="J438" s="87">
        <v>2.5999999999999999E-2</v>
      </c>
      <c r="K438" s="25">
        <f>((8/3)*L434)+((4/3)*L446)</f>
        <v>43182</v>
      </c>
      <c r="L438" s="95"/>
      <c r="M438" s="82">
        <f t="shared" si="52"/>
        <v>0.6</v>
      </c>
      <c r="N438" s="82">
        <v>0.26</v>
      </c>
      <c r="O438" s="82">
        <f t="shared" si="53"/>
        <v>0.61</v>
      </c>
      <c r="P438" s="82">
        <v>0.34620000000000001</v>
      </c>
      <c r="Q438" s="82">
        <v>0.69640000000000002</v>
      </c>
      <c r="R438" s="82">
        <v>0.6</v>
      </c>
      <c r="S438" s="82">
        <v>0.61</v>
      </c>
    </row>
    <row r="439" spans="1:19">
      <c r="A439" s="19">
        <f t="shared" si="48"/>
        <v>50801</v>
      </c>
      <c r="B439" s="19">
        <f t="shared" si="47"/>
        <v>51165</v>
      </c>
      <c r="C439" s="86">
        <f t="shared" si="54"/>
        <v>0.26</v>
      </c>
      <c r="D439" s="86">
        <f t="shared" si="54"/>
        <v>0.27900000000000003</v>
      </c>
      <c r="E439" s="86">
        <f t="shared" si="54"/>
        <v>6.0999999999999999E-2</v>
      </c>
      <c r="F439" s="86">
        <f t="shared" si="54"/>
        <v>2.5999999999999999E-2</v>
      </c>
      <c r="G439" s="87">
        <v>0.26</v>
      </c>
      <c r="H439" s="87">
        <v>0.27900000000000003</v>
      </c>
      <c r="I439" s="87">
        <v>6.0999999999999999E-2</v>
      </c>
      <c r="J439" s="87">
        <v>2.5999999999999999E-2</v>
      </c>
      <c r="K439" s="25">
        <f>((7/3)*L434)+((5/3)*L446)</f>
        <v>43359</v>
      </c>
      <c r="L439" s="95"/>
      <c r="M439" s="82">
        <f t="shared" si="52"/>
        <v>0.6</v>
      </c>
      <c r="N439" s="82">
        <v>0.26</v>
      </c>
      <c r="O439" s="82">
        <f t="shared" si="53"/>
        <v>0.61</v>
      </c>
      <c r="P439" s="82">
        <v>0.34620000000000001</v>
      </c>
      <c r="Q439" s="82">
        <v>0.69640000000000002</v>
      </c>
      <c r="R439" s="82">
        <v>0.6</v>
      </c>
      <c r="S439" s="82">
        <v>0.61</v>
      </c>
    </row>
    <row r="440" spans="1:19">
      <c r="A440" s="19">
        <f t="shared" si="48"/>
        <v>50829</v>
      </c>
      <c r="B440" s="19">
        <f t="shared" si="47"/>
        <v>51194</v>
      </c>
      <c r="C440" s="86">
        <f t="shared" si="54"/>
        <v>0.26</v>
      </c>
      <c r="D440" s="86">
        <f t="shared" si="54"/>
        <v>0.27900000000000003</v>
      </c>
      <c r="E440" s="86">
        <f t="shared" si="54"/>
        <v>6.0999999999999999E-2</v>
      </c>
      <c r="F440" s="86">
        <f t="shared" si="54"/>
        <v>2.5999999999999999E-2</v>
      </c>
      <c r="G440" s="87">
        <v>0.26</v>
      </c>
      <c r="H440" s="87">
        <v>0.27900000000000003</v>
      </c>
      <c r="I440" s="87">
        <v>6.0999999999999999E-2</v>
      </c>
      <c r="J440" s="87">
        <v>2.5999999999999999E-2</v>
      </c>
      <c r="K440" s="25">
        <f>((6/3)*L434)+((6/3)*L446)</f>
        <v>43536</v>
      </c>
      <c r="L440" s="95"/>
      <c r="M440" s="82">
        <f t="shared" si="52"/>
        <v>0.6</v>
      </c>
      <c r="N440" s="82">
        <v>0.26</v>
      </c>
      <c r="O440" s="82">
        <f t="shared" si="53"/>
        <v>0.61</v>
      </c>
      <c r="P440" s="82">
        <v>0.34620000000000001</v>
      </c>
      <c r="Q440" s="82">
        <v>0.69640000000000002</v>
      </c>
      <c r="R440" s="82">
        <v>0.6</v>
      </c>
      <c r="S440" s="82">
        <v>0.61</v>
      </c>
    </row>
    <row r="441" spans="1:19">
      <c r="A441" s="19">
        <f t="shared" si="48"/>
        <v>50860</v>
      </c>
      <c r="B441" s="19">
        <f t="shared" si="47"/>
        <v>51225</v>
      </c>
      <c r="C441" s="86">
        <f t="shared" si="54"/>
        <v>0.26</v>
      </c>
      <c r="D441" s="86">
        <f t="shared" si="54"/>
        <v>0.27900000000000003</v>
      </c>
      <c r="E441" s="86">
        <f t="shared" si="54"/>
        <v>6.0999999999999999E-2</v>
      </c>
      <c r="F441" s="86">
        <f t="shared" si="54"/>
        <v>2.5999999999999999E-2</v>
      </c>
      <c r="G441" s="87">
        <v>0.26</v>
      </c>
      <c r="H441" s="87">
        <v>0.27900000000000003</v>
      </c>
      <c r="I441" s="87">
        <v>6.0999999999999999E-2</v>
      </c>
      <c r="J441" s="87">
        <v>2.5999999999999999E-2</v>
      </c>
      <c r="K441" s="25">
        <f>((5/3)*L434)+((7/3)*L446)</f>
        <v>43713</v>
      </c>
      <c r="L441" s="95"/>
      <c r="M441" s="82">
        <f t="shared" si="52"/>
        <v>0.6</v>
      </c>
      <c r="N441" s="82">
        <v>0.26</v>
      </c>
      <c r="O441" s="82">
        <f t="shared" si="53"/>
        <v>0.61</v>
      </c>
      <c r="P441" s="82">
        <v>0.34620000000000001</v>
      </c>
      <c r="Q441" s="82">
        <v>0.69640000000000002</v>
      </c>
      <c r="R441" s="82">
        <v>0.6</v>
      </c>
      <c r="S441" s="82">
        <v>0.61</v>
      </c>
    </row>
    <row r="442" spans="1:19">
      <c r="A442" s="19">
        <f t="shared" si="48"/>
        <v>50890</v>
      </c>
      <c r="B442" s="19">
        <f t="shared" si="47"/>
        <v>51255</v>
      </c>
      <c r="C442" s="86">
        <f t="shared" si="54"/>
        <v>0.26</v>
      </c>
      <c r="D442" s="86">
        <f t="shared" si="54"/>
        <v>0.27900000000000003</v>
      </c>
      <c r="E442" s="86">
        <f t="shared" si="54"/>
        <v>6.0999999999999999E-2</v>
      </c>
      <c r="F442" s="86">
        <f t="shared" si="54"/>
        <v>2.5999999999999999E-2</v>
      </c>
      <c r="G442" s="87">
        <v>0.26</v>
      </c>
      <c r="H442" s="87">
        <v>0.27900000000000003</v>
      </c>
      <c r="I442" s="87">
        <v>6.0999999999999999E-2</v>
      </c>
      <c r="J442" s="87">
        <v>2.5999999999999999E-2</v>
      </c>
      <c r="K442" s="25">
        <f>((4/3)*L434)+((8/3)*L446)</f>
        <v>43890</v>
      </c>
      <c r="L442" s="95"/>
      <c r="M442" s="82">
        <f t="shared" si="52"/>
        <v>0.6</v>
      </c>
      <c r="N442" s="82">
        <v>0.26</v>
      </c>
      <c r="O442" s="82">
        <f t="shared" si="53"/>
        <v>0.61</v>
      </c>
      <c r="P442" s="82">
        <v>0.34620000000000001</v>
      </c>
      <c r="Q442" s="82">
        <v>0.69640000000000002</v>
      </c>
      <c r="R442" s="82">
        <v>0.6</v>
      </c>
      <c r="S442" s="82">
        <v>0.61</v>
      </c>
    </row>
    <row r="443" spans="1:19">
      <c r="A443" s="19">
        <f t="shared" si="48"/>
        <v>50921</v>
      </c>
      <c r="B443" s="19">
        <f t="shared" si="47"/>
        <v>51286</v>
      </c>
      <c r="C443" s="86">
        <f t="shared" si="54"/>
        <v>0.26</v>
      </c>
      <c r="D443" s="86">
        <f t="shared" si="54"/>
        <v>0.27900000000000003</v>
      </c>
      <c r="E443" s="86">
        <f t="shared" si="54"/>
        <v>6.0999999999999999E-2</v>
      </c>
      <c r="F443" s="86">
        <f t="shared" si="54"/>
        <v>2.5999999999999999E-2</v>
      </c>
      <c r="G443" s="87">
        <v>0.26</v>
      </c>
      <c r="H443" s="87">
        <v>0.27900000000000003</v>
      </c>
      <c r="I443" s="87">
        <v>6.0999999999999999E-2</v>
      </c>
      <c r="J443" s="87">
        <v>2.5999999999999999E-2</v>
      </c>
      <c r="K443" s="25">
        <f>((3/3)*L434)+((9/3)*L446)</f>
        <v>44067</v>
      </c>
      <c r="L443" s="95"/>
      <c r="M443" s="82">
        <f t="shared" si="52"/>
        <v>0.6</v>
      </c>
      <c r="N443" s="82">
        <v>0.26</v>
      </c>
      <c r="O443" s="82">
        <f t="shared" si="53"/>
        <v>0.61</v>
      </c>
      <c r="P443" s="82">
        <v>0.34620000000000001</v>
      </c>
      <c r="Q443" s="82">
        <v>0.69640000000000002</v>
      </c>
      <c r="R443" s="82">
        <v>0.6</v>
      </c>
      <c r="S443" s="82">
        <v>0.61</v>
      </c>
    </row>
    <row r="444" spans="1:19">
      <c r="A444" s="19">
        <f t="shared" si="48"/>
        <v>50951</v>
      </c>
      <c r="B444" s="19">
        <f t="shared" si="47"/>
        <v>51316</v>
      </c>
      <c r="C444" s="86">
        <f t="shared" si="54"/>
        <v>0.26</v>
      </c>
      <c r="D444" s="86">
        <f t="shared" si="54"/>
        <v>0.27900000000000003</v>
      </c>
      <c r="E444" s="86">
        <f t="shared" si="54"/>
        <v>6.0999999999999999E-2</v>
      </c>
      <c r="F444" s="86">
        <f t="shared" si="54"/>
        <v>2.5999999999999999E-2</v>
      </c>
      <c r="G444" s="87">
        <v>0.26</v>
      </c>
      <c r="H444" s="87">
        <v>0.27900000000000003</v>
      </c>
      <c r="I444" s="87">
        <v>6.0999999999999999E-2</v>
      </c>
      <c r="J444" s="87">
        <v>2.5999999999999999E-2</v>
      </c>
      <c r="K444" s="25">
        <f>((2/3)*L434)+((10/3)*L446)</f>
        <v>44244</v>
      </c>
      <c r="L444" s="95"/>
      <c r="M444" s="82">
        <f t="shared" si="52"/>
        <v>0.6</v>
      </c>
      <c r="N444" s="82">
        <v>0.26</v>
      </c>
      <c r="O444" s="82">
        <f t="shared" si="53"/>
        <v>0.61</v>
      </c>
      <c r="P444" s="82">
        <v>0.34620000000000001</v>
      </c>
      <c r="Q444" s="82">
        <v>0.69640000000000002</v>
      </c>
      <c r="R444" s="82">
        <v>0.6</v>
      </c>
      <c r="S444" s="82">
        <v>0.61</v>
      </c>
    </row>
    <row r="445" spans="1:19">
      <c r="A445" s="19">
        <f t="shared" si="48"/>
        <v>50982</v>
      </c>
      <c r="B445" s="19">
        <f t="shared" si="47"/>
        <v>51347</v>
      </c>
      <c r="C445" s="83">
        <f t="shared" si="54"/>
        <v>0.26</v>
      </c>
      <c r="D445" s="83">
        <f t="shared" si="54"/>
        <v>0.27900000000000003</v>
      </c>
      <c r="E445" s="83">
        <f t="shared" si="54"/>
        <v>6.0999999999999999E-2</v>
      </c>
      <c r="F445" s="83">
        <f t="shared" si="54"/>
        <v>2.5999999999999999E-2</v>
      </c>
      <c r="G445" s="87">
        <v>0.26</v>
      </c>
      <c r="H445" s="87">
        <v>0.27900000000000003</v>
      </c>
      <c r="I445" s="87">
        <v>6.0999999999999999E-2</v>
      </c>
      <c r="J445" s="87">
        <v>2.5999999999999999E-2</v>
      </c>
      <c r="K445" s="25">
        <f>((1/3)*L434)+((11/3)*L446)</f>
        <v>44421</v>
      </c>
      <c r="L445" s="95"/>
      <c r="M445" s="82">
        <f t="shared" si="52"/>
        <v>0.6</v>
      </c>
      <c r="N445" s="82">
        <v>0.26</v>
      </c>
      <c r="O445" s="82">
        <f t="shared" si="53"/>
        <v>0.61</v>
      </c>
      <c r="P445" s="82">
        <v>0.34620000000000001</v>
      </c>
      <c r="Q445" s="82">
        <v>0.69640000000000002</v>
      </c>
      <c r="R445" s="82">
        <v>0.6</v>
      </c>
      <c r="S445" s="82">
        <v>0.61</v>
      </c>
    </row>
    <row r="446" spans="1:19" s="80" customFormat="1">
      <c r="A446" s="79">
        <f t="shared" si="48"/>
        <v>51013</v>
      </c>
      <c r="B446" s="79">
        <f t="shared" si="47"/>
        <v>51378</v>
      </c>
      <c r="C446" s="88">
        <f t="shared" si="54"/>
        <v>0.26</v>
      </c>
      <c r="D446" s="88">
        <f t="shared" si="54"/>
        <v>0.27900000000000003</v>
      </c>
      <c r="E446" s="88">
        <f t="shared" si="54"/>
        <v>6.0999999999999999E-2</v>
      </c>
      <c r="F446" s="88">
        <f t="shared" si="54"/>
        <v>2.5999999999999999E-2</v>
      </c>
      <c r="G446" s="89">
        <v>0.26</v>
      </c>
      <c r="H446" s="89">
        <v>0.27900000000000003</v>
      </c>
      <c r="I446" s="89">
        <v>6.0999999999999999E-2</v>
      </c>
      <c r="J446" s="89">
        <v>2.5999999999999999E-2</v>
      </c>
      <c r="K446" s="78">
        <f>(L446*4)</f>
        <v>44598</v>
      </c>
      <c r="L446" s="96">
        <f>L434*1.05</f>
        <v>11149.39</v>
      </c>
      <c r="M446" s="355">
        <f t="shared" si="52"/>
        <v>0.6</v>
      </c>
      <c r="N446" s="355">
        <v>0.26</v>
      </c>
      <c r="O446" s="355">
        <f t="shared" si="53"/>
        <v>0.61</v>
      </c>
      <c r="P446" s="355">
        <v>0.34620000000000001</v>
      </c>
      <c r="Q446" s="355">
        <v>0.69640000000000002</v>
      </c>
      <c r="R446" s="355">
        <v>0.6</v>
      </c>
      <c r="S446" s="355">
        <v>0.61</v>
      </c>
    </row>
    <row r="447" spans="1:19" s="80" customFormat="1">
      <c r="A447" s="79">
        <f t="shared" si="48"/>
        <v>51043</v>
      </c>
      <c r="B447" s="79">
        <f t="shared" si="47"/>
        <v>51408</v>
      </c>
      <c r="C447" s="88">
        <f t="shared" si="54"/>
        <v>0.26</v>
      </c>
      <c r="D447" s="88">
        <f t="shared" si="54"/>
        <v>0.27900000000000003</v>
      </c>
      <c r="E447" s="88">
        <f t="shared" si="54"/>
        <v>6.0999999999999999E-2</v>
      </c>
      <c r="F447" s="88">
        <f t="shared" si="54"/>
        <v>2.5999999999999999E-2</v>
      </c>
      <c r="G447" s="89">
        <v>0.26</v>
      </c>
      <c r="H447" s="89">
        <v>0.27900000000000003</v>
      </c>
      <c r="I447" s="89">
        <v>6.0999999999999999E-2</v>
      </c>
      <c r="J447" s="89">
        <v>2.5999999999999999E-2</v>
      </c>
      <c r="K447" s="78">
        <f>((11/3)*L446)+((1/3)*L458)</f>
        <v>44783</v>
      </c>
      <c r="L447" s="96"/>
      <c r="M447" s="355">
        <f t="shared" si="52"/>
        <v>0.6</v>
      </c>
      <c r="N447" s="355">
        <v>0.26</v>
      </c>
      <c r="O447" s="355">
        <f t="shared" si="53"/>
        <v>0.61</v>
      </c>
      <c r="P447" s="355">
        <v>0.34620000000000001</v>
      </c>
      <c r="Q447" s="355">
        <v>0.69640000000000002</v>
      </c>
      <c r="R447" s="355">
        <v>0.6</v>
      </c>
      <c r="S447" s="355">
        <v>0.61</v>
      </c>
    </row>
    <row r="448" spans="1:19" s="80" customFormat="1">
      <c r="A448" s="79">
        <f t="shared" si="48"/>
        <v>51074</v>
      </c>
      <c r="B448" s="79">
        <f t="shared" si="47"/>
        <v>51439</v>
      </c>
      <c r="C448" s="88">
        <f t="shared" si="54"/>
        <v>0.26</v>
      </c>
      <c r="D448" s="88">
        <f t="shared" si="54"/>
        <v>0.27900000000000003</v>
      </c>
      <c r="E448" s="88">
        <f t="shared" si="54"/>
        <v>6.0999999999999999E-2</v>
      </c>
      <c r="F448" s="88">
        <f t="shared" si="54"/>
        <v>2.5999999999999999E-2</v>
      </c>
      <c r="G448" s="89">
        <v>0.26</v>
      </c>
      <c r="H448" s="89">
        <v>0.27900000000000003</v>
      </c>
      <c r="I448" s="89">
        <v>6.0999999999999999E-2</v>
      </c>
      <c r="J448" s="89">
        <v>2.5999999999999999E-2</v>
      </c>
      <c r="K448" s="78">
        <f>((10/3)*L446)+((2/3)*L458)</f>
        <v>44969</v>
      </c>
      <c r="L448" s="96"/>
      <c r="M448" s="355">
        <f t="shared" si="52"/>
        <v>0.6</v>
      </c>
      <c r="N448" s="355">
        <v>0.26</v>
      </c>
      <c r="O448" s="355">
        <f t="shared" si="53"/>
        <v>0.61</v>
      </c>
      <c r="P448" s="355">
        <v>0.34620000000000001</v>
      </c>
      <c r="Q448" s="355">
        <v>0.69640000000000002</v>
      </c>
      <c r="R448" s="355">
        <v>0.6</v>
      </c>
      <c r="S448" s="355">
        <v>0.61</v>
      </c>
    </row>
    <row r="449" spans="1:19" s="80" customFormat="1">
      <c r="A449" s="79">
        <f t="shared" si="48"/>
        <v>51104</v>
      </c>
      <c r="B449" s="79">
        <f t="shared" si="47"/>
        <v>51469</v>
      </c>
      <c r="C449" s="88">
        <f t="shared" si="54"/>
        <v>0.26</v>
      </c>
      <c r="D449" s="88">
        <f t="shared" si="54"/>
        <v>0.27900000000000003</v>
      </c>
      <c r="E449" s="88">
        <f t="shared" si="54"/>
        <v>6.0999999999999999E-2</v>
      </c>
      <c r="F449" s="88">
        <f t="shared" si="54"/>
        <v>2.5999999999999999E-2</v>
      </c>
      <c r="G449" s="89">
        <v>0.26</v>
      </c>
      <c r="H449" s="89">
        <v>0.27900000000000003</v>
      </c>
      <c r="I449" s="89">
        <v>6.0999999999999999E-2</v>
      </c>
      <c r="J449" s="89">
        <v>2.5999999999999999E-2</v>
      </c>
      <c r="K449" s="78">
        <f>((9/3)*L446)+((3/3)*L458)</f>
        <v>45155</v>
      </c>
      <c r="L449" s="96"/>
      <c r="M449" s="355">
        <f t="shared" si="52"/>
        <v>0.6</v>
      </c>
      <c r="N449" s="355">
        <v>0.26</v>
      </c>
      <c r="O449" s="355">
        <f t="shared" si="53"/>
        <v>0.61</v>
      </c>
      <c r="P449" s="355">
        <v>0.34620000000000001</v>
      </c>
      <c r="Q449" s="355">
        <v>0.69640000000000002</v>
      </c>
      <c r="R449" s="355">
        <v>0.6</v>
      </c>
      <c r="S449" s="355">
        <v>0.61</v>
      </c>
    </row>
    <row r="450" spans="1:19" s="80" customFormat="1">
      <c r="A450" s="79">
        <f t="shared" si="48"/>
        <v>51135</v>
      </c>
      <c r="B450" s="79">
        <f t="shared" ref="B450:B513" si="55">EDATE(A450,12)-1</f>
        <v>51500</v>
      </c>
      <c r="C450" s="88">
        <f t="shared" si="54"/>
        <v>0.26</v>
      </c>
      <c r="D450" s="88">
        <f t="shared" si="54"/>
        <v>0.27900000000000003</v>
      </c>
      <c r="E450" s="88">
        <f t="shared" si="54"/>
        <v>6.0999999999999999E-2</v>
      </c>
      <c r="F450" s="88">
        <f t="shared" si="54"/>
        <v>2.5999999999999999E-2</v>
      </c>
      <c r="G450" s="89">
        <v>0.26</v>
      </c>
      <c r="H450" s="89">
        <v>0.27900000000000003</v>
      </c>
      <c r="I450" s="89">
        <v>6.0999999999999999E-2</v>
      </c>
      <c r="J450" s="89">
        <v>2.5999999999999999E-2</v>
      </c>
      <c r="K450" s="78">
        <f>((8/3)*L446)+((4/3)*L458)</f>
        <v>45341</v>
      </c>
      <c r="L450" s="96"/>
      <c r="M450" s="355">
        <f t="shared" si="52"/>
        <v>0.6</v>
      </c>
      <c r="N450" s="355">
        <v>0.26</v>
      </c>
      <c r="O450" s="355">
        <f t="shared" si="53"/>
        <v>0.61</v>
      </c>
      <c r="P450" s="355">
        <v>0.34620000000000001</v>
      </c>
      <c r="Q450" s="355">
        <v>0.69640000000000002</v>
      </c>
      <c r="R450" s="355">
        <v>0.6</v>
      </c>
      <c r="S450" s="355">
        <v>0.61</v>
      </c>
    </row>
    <row r="451" spans="1:19" s="80" customFormat="1">
      <c r="A451" s="79">
        <f t="shared" ref="A451:A514" si="56">EDATE(A450,1)</f>
        <v>51166</v>
      </c>
      <c r="B451" s="79">
        <f t="shared" si="55"/>
        <v>51531</v>
      </c>
      <c r="C451" s="88">
        <f t="shared" ref="C451:F466" si="57">AVERAGE(G451:G462)</f>
        <v>0.26</v>
      </c>
      <c r="D451" s="88">
        <f t="shared" si="57"/>
        <v>0.27900000000000003</v>
      </c>
      <c r="E451" s="88">
        <f t="shared" si="57"/>
        <v>6.0999999999999999E-2</v>
      </c>
      <c r="F451" s="88">
        <f t="shared" si="57"/>
        <v>2.5999999999999999E-2</v>
      </c>
      <c r="G451" s="89">
        <v>0.26</v>
      </c>
      <c r="H451" s="89">
        <v>0.27900000000000003</v>
      </c>
      <c r="I451" s="89">
        <v>6.0999999999999999E-2</v>
      </c>
      <c r="J451" s="89">
        <v>2.5999999999999999E-2</v>
      </c>
      <c r="K451" s="78">
        <f>((7/3)*L446)+((5/3)*L458)</f>
        <v>45527</v>
      </c>
      <c r="L451" s="96"/>
      <c r="M451" s="355">
        <f t="shared" si="52"/>
        <v>0.6</v>
      </c>
      <c r="N451" s="355">
        <v>0.26</v>
      </c>
      <c r="O451" s="355">
        <f t="shared" si="53"/>
        <v>0.61</v>
      </c>
      <c r="P451" s="355">
        <v>0.34620000000000001</v>
      </c>
      <c r="Q451" s="355">
        <v>0.69640000000000002</v>
      </c>
      <c r="R451" s="355">
        <v>0.6</v>
      </c>
      <c r="S451" s="355">
        <v>0.61</v>
      </c>
    </row>
    <row r="452" spans="1:19" s="80" customFormat="1">
      <c r="A452" s="79">
        <f t="shared" si="56"/>
        <v>51195</v>
      </c>
      <c r="B452" s="79">
        <f t="shared" si="55"/>
        <v>51559</v>
      </c>
      <c r="C452" s="88">
        <f t="shared" si="57"/>
        <v>0.26</v>
      </c>
      <c r="D452" s="88">
        <f t="shared" si="57"/>
        <v>0.27900000000000003</v>
      </c>
      <c r="E452" s="88">
        <f t="shared" si="57"/>
        <v>6.0999999999999999E-2</v>
      </c>
      <c r="F452" s="88">
        <f t="shared" si="57"/>
        <v>2.5999999999999999E-2</v>
      </c>
      <c r="G452" s="89">
        <v>0.26</v>
      </c>
      <c r="H452" s="89">
        <v>0.27900000000000003</v>
      </c>
      <c r="I452" s="89">
        <v>6.0999999999999999E-2</v>
      </c>
      <c r="J452" s="89">
        <v>2.5999999999999999E-2</v>
      </c>
      <c r="K452" s="78">
        <f>((6/3)*L446)+((6/3)*L458)</f>
        <v>45713</v>
      </c>
      <c r="L452" s="96"/>
      <c r="M452" s="355">
        <f t="shared" si="52"/>
        <v>0.6</v>
      </c>
      <c r="N452" s="355">
        <v>0.26</v>
      </c>
      <c r="O452" s="355">
        <f t="shared" si="53"/>
        <v>0.61</v>
      </c>
      <c r="P452" s="355">
        <v>0.34620000000000001</v>
      </c>
      <c r="Q452" s="355">
        <v>0.69640000000000002</v>
      </c>
      <c r="R452" s="355">
        <v>0.6</v>
      </c>
      <c r="S452" s="355">
        <v>0.61</v>
      </c>
    </row>
    <row r="453" spans="1:19" s="80" customFormat="1">
      <c r="A453" s="79">
        <f t="shared" si="56"/>
        <v>51226</v>
      </c>
      <c r="B453" s="79">
        <f t="shared" si="55"/>
        <v>51590</v>
      </c>
      <c r="C453" s="88">
        <f t="shared" si="57"/>
        <v>0.26</v>
      </c>
      <c r="D453" s="88">
        <f t="shared" si="57"/>
        <v>0.27900000000000003</v>
      </c>
      <c r="E453" s="88">
        <f t="shared" si="57"/>
        <v>6.0999999999999999E-2</v>
      </c>
      <c r="F453" s="88">
        <f t="shared" si="57"/>
        <v>2.5999999999999999E-2</v>
      </c>
      <c r="G453" s="89">
        <v>0.26</v>
      </c>
      <c r="H453" s="89">
        <v>0.27900000000000003</v>
      </c>
      <c r="I453" s="89">
        <v>6.0999999999999999E-2</v>
      </c>
      <c r="J453" s="89">
        <v>2.5999999999999999E-2</v>
      </c>
      <c r="K453" s="78">
        <f>((5/3)*L446)+((7/3)*L458)</f>
        <v>45898</v>
      </c>
      <c r="L453" s="96"/>
      <c r="M453" s="355">
        <f t="shared" si="52"/>
        <v>0.6</v>
      </c>
      <c r="N453" s="355">
        <v>0.26</v>
      </c>
      <c r="O453" s="355">
        <f t="shared" si="53"/>
        <v>0.61</v>
      </c>
      <c r="P453" s="355">
        <v>0.34620000000000001</v>
      </c>
      <c r="Q453" s="355">
        <v>0.69640000000000002</v>
      </c>
      <c r="R453" s="355">
        <v>0.6</v>
      </c>
      <c r="S453" s="355">
        <v>0.61</v>
      </c>
    </row>
    <row r="454" spans="1:19" s="80" customFormat="1">
      <c r="A454" s="79">
        <f t="shared" si="56"/>
        <v>51256</v>
      </c>
      <c r="B454" s="79">
        <f t="shared" si="55"/>
        <v>51620</v>
      </c>
      <c r="C454" s="88">
        <f t="shared" si="57"/>
        <v>0.26</v>
      </c>
      <c r="D454" s="88">
        <f t="shared" si="57"/>
        <v>0.27900000000000003</v>
      </c>
      <c r="E454" s="88">
        <f t="shared" si="57"/>
        <v>6.0999999999999999E-2</v>
      </c>
      <c r="F454" s="88">
        <f t="shared" si="57"/>
        <v>2.5999999999999999E-2</v>
      </c>
      <c r="G454" s="89">
        <v>0.26</v>
      </c>
      <c r="H454" s="89">
        <v>0.27900000000000003</v>
      </c>
      <c r="I454" s="89">
        <v>6.0999999999999999E-2</v>
      </c>
      <c r="J454" s="89">
        <v>2.5999999999999999E-2</v>
      </c>
      <c r="K454" s="78">
        <f>((4/3)*L446)+((8/3)*L458)</f>
        <v>46084</v>
      </c>
      <c r="L454" s="96"/>
      <c r="M454" s="355">
        <f t="shared" si="52"/>
        <v>0.6</v>
      </c>
      <c r="N454" s="355">
        <v>0.26</v>
      </c>
      <c r="O454" s="355">
        <f t="shared" si="53"/>
        <v>0.61</v>
      </c>
      <c r="P454" s="355">
        <v>0.34620000000000001</v>
      </c>
      <c r="Q454" s="355">
        <v>0.69640000000000002</v>
      </c>
      <c r="R454" s="355">
        <v>0.6</v>
      </c>
      <c r="S454" s="355">
        <v>0.61</v>
      </c>
    </row>
    <row r="455" spans="1:19" s="80" customFormat="1">
      <c r="A455" s="79">
        <f t="shared" si="56"/>
        <v>51287</v>
      </c>
      <c r="B455" s="79">
        <f t="shared" si="55"/>
        <v>51651</v>
      </c>
      <c r="C455" s="88">
        <f t="shared" si="57"/>
        <v>0.26</v>
      </c>
      <c r="D455" s="88">
        <f t="shared" si="57"/>
        <v>0.27900000000000003</v>
      </c>
      <c r="E455" s="88">
        <f t="shared" si="57"/>
        <v>6.0999999999999999E-2</v>
      </c>
      <c r="F455" s="88">
        <f t="shared" si="57"/>
        <v>2.5999999999999999E-2</v>
      </c>
      <c r="G455" s="89">
        <v>0.26</v>
      </c>
      <c r="H455" s="89">
        <v>0.27900000000000003</v>
      </c>
      <c r="I455" s="89">
        <v>6.0999999999999999E-2</v>
      </c>
      <c r="J455" s="89">
        <v>2.5999999999999999E-2</v>
      </c>
      <c r="K455" s="78">
        <f>((3/3)*L446)+((9/3)*L458)</f>
        <v>46270</v>
      </c>
      <c r="L455" s="96"/>
      <c r="M455" s="355">
        <f t="shared" si="52"/>
        <v>0.6</v>
      </c>
      <c r="N455" s="355">
        <v>0.26</v>
      </c>
      <c r="O455" s="355">
        <f t="shared" si="53"/>
        <v>0.61</v>
      </c>
      <c r="P455" s="355">
        <v>0.34620000000000001</v>
      </c>
      <c r="Q455" s="355">
        <v>0.69640000000000002</v>
      </c>
      <c r="R455" s="355">
        <v>0.6</v>
      </c>
      <c r="S455" s="355">
        <v>0.61</v>
      </c>
    </row>
    <row r="456" spans="1:19" s="80" customFormat="1">
      <c r="A456" s="79">
        <f t="shared" si="56"/>
        <v>51317</v>
      </c>
      <c r="B456" s="79">
        <f t="shared" si="55"/>
        <v>51681</v>
      </c>
      <c r="C456" s="88">
        <f t="shared" si="57"/>
        <v>0.26</v>
      </c>
      <c r="D456" s="88">
        <f t="shared" si="57"/>
        <v>0.27900000000000003</v>
      </c>
      <c r="E456" s="88">
        <f t="shared" si="57"/>
        <v>6.0999999999999999E-2</v>
      </c>
      <c r="F456" s="88">
        <f t="shared" si="57"/>
        <v>2.5999999999999999E-2</v>
      </c>
      <c r="G456" s="89">
        <v>0.26</v>
      </c>
      <c r="H456" s="89">
        <v>0.27900000000000003</v>
      </c>
      <c r="I456" s="89">
        <v>6.0999999999999999E-2</v>
      </c>
      <c r="J456" s="89">
        <v>2.5999999999999999E-2</v>
      </c>
      <c r="K456" s="78">
        <f>((2/3)*L446)+((10/3)*L458)</f>
        <v>46456</v>
      </c>
      <c r="L456" s="96"/>
      <c r="M456" s="355">
        <f t="shared" si="52"/>
        <v>0.6</v>
      </c>
      <c r="N456" s="355">
        <v>0.26</v>
      </c>
      <c r="O456" s="355">
        <f t="shared" si="53"/>
        <v>0.61</v>
      </c>
      <c r="P456" s="355">
        <v>0.34620000000000001</v>
      </c>
      <c r="Q456" s="355">
        <v>0.69640000000000002</v>
      </c>
      <c r="R456" s="355">
        <v>0.6</v>
      </c>
      <c r="S456" s="355">
        <v>0.61</v>
      </c>
    </row>
    <row r="457" spans="1:19" s="80" customFormat="1">
      <c r="A457" s="79">
        <f t="shared" si="56"/>
        <v>51348</v>
      </c>
      <c r="B457" s="79">
        <f t="shared" si="55"/>
        <v>51712</v>
      </c>
      <c r="C457" s="88">
        <f t="shared" si="57"/>
        <v>0.26</v>
      </c>
      <c r="D457" s="88">
        <f t="shared" si="57"/>
        <v>0.27900000000000003</v>
      </c>
      <c r="E457" s="88">
        <f t="shared" si="57"/>
        <v>6.0999999999999999E-2</v>
      </c>
      <c r="F457" s="88">
        <f t="shared" si="57"/>
        <v>2.5999999999999999E-2</v>
      </c>
      <c r="G457" s="89">
        <v>0.26</v>
      </c>
      <c r="H457" s="89">
        <v>0.27900000000000003</v>
      </c>
      <c r="I457" s="89">
        <v>6.0999999999999999E-2</v>
      </c>
      <c r="J457" s="89">
        <v>2.5999999999999999E-2</v>
      </c>
      <c r="K457" s="78">
        <f>((1/3)*L446)+((11/3)*L458)</f>
        <v>46642</v>
      </c>
      <c r="L457" s="96"/>
      <c r="M457" s="355">
        <f t="shared" si="52"/>
        <v>0.6</v>
      </c>
      <c r="N457" s="355">
        <v>0.26</v>
      </c>
      <c r="O457" s="355">
        <f t="shared" si="53"/>
        <v>0.61</v>
      </c>
      <c r="P457" s="355">
        <v>0.34620000000000001</v>
      </c>
      <c r="Q457" s="355">
        <v>0.69640000000000002</v>
      </c>
      <c r="R457" s="355">
        <v>0.6</v>
      </c>
      <c r="S457" s="355">
        <v>0.61</v>
      </c>
    </row>
    <row r="458" spans="1:19">
      <c r="A458" s="19">
        <f t="shared" si="56"/>
        <v>51379</v>
      </c>
      <c r="B458" s="19">
        <f t="shared" si="55"/>
        <v>51743</v>
      </c>
      <c r="C458" s="86">
        <f t="shared" si="57"/>
        <v>0.26</v>
      </c>
      <c r="D458" s="86">
        <f t="shared" si="57"/>
        <v>0.27900000000000003</v>
      </c>
      <c r="E458" s="86">
        <f t="shared" si="57"/>
        <v>6.0999999999999999E-2</v>
      </c>
      <c r="F458" s="86">
        <f t="shared" si="57"/>
        <v>2.5999999999999999E-2</v>
      </c>
      <c r="G458" s="87">
        <v>0.26</v>
      </c>
      <c r="H458" s="87">
        <v>0.27900000000000003</v>
      </c>
      <c r="I458" s="87">
        <v>6.0999999999999999E-2</v>
      </c>
      <c r="J458" s="87">
        <v>2.5999999999999999E-2</v>
      </c>
      <c r="K458" s="25">
        <f>(L458*4)</f>
        <v>46827</v>
      </c>
      <c r="L458" s="95">
        <f>L446*1.05</f>
        <v>11706.86</v>
      </c>
      <c r="M458" s="82">
        <f t="shared" si="52"/>
        <v>0.6</v>
      </c>
      <c r="N458" s="82">
        <v>0.26</v>
      </c>
      <c r="O458" s="82">
        <f t="shared" si="53"/>
        <v>0.61</v>
      </c>
      <c r="P458" s="82">
        <v>0.34620000000000001</v>
      </c>
      <c r="Q458" s="82">
        <v>0.69640000000000002</v>
      </c>
      <c r="R458" s="82">
        <v>0.6</v>
      </c>
      <c r="S458" s="82">
        <v>0.61</v>
      </c>
    </row>
    <row r="459" spans="1:19">
      <c r="A459" s="19">
        <f t="shared" si="56"/>
        <v>51409</v>
      </c>
      <c r="B459" s="19">
        <f t="shared" si="55"/>
        <v>51773</v>
      </c>
      <c r="C459" s="86">
        <f t="shared" si="57"/>
        <v>0.26</v>
      </c>
      <c r="D459" s="86">
        <f t="shared" si="57"/>
        <v>0.27900000000000003</v>
      </c>
      <c r="E459" s="86">
        <f t="shared" si="57"/>
        <v>6.0999999999999999E-2</v>
      </c>
      <c r="F459" s="86">
        <f t="shared" si="57"/>
        <v>2.5999999999999999E-2</v>
      </c>
      <c r="G459" s="87">
        <v>0.26</v>
      </c>
      <c r="H459" s="87">
        <v>0.27900000000000003</v>
      </c>
      <c r="I459" s="87">
        <v>6.0999999999999999E-2</v>
      </c>
      <c r="J459" s="87">
        <v>2.5999999999999999E-2</v>
      </c>
      <c r="K459" s="25">
        <f>((11/3)*L458)+((1/3)*L470)</f>
        <v>47023</v>
      </c>
      <c r="L459" s="95"/>
      <c r="M459" s="82">
        <f t="shared" si="52"/>
        <v>0.6</v>
      </c>
      <c r="N459" s="82">
        <v>0.26</v>
      </c>
      <c r="O459" s="82">
        <f t="shared" si="53"/>
        <v>0.61</v>
      </c>
      <c r="P459" s="82">
        <v>0.34620000000000001</v>
      </c>
      <c r="Q459" s="82">
        <v>0.69640000000000002</v>
      </c>
      <c r="R459" s="82">
        <v>0.6</v>
      </c>
      <c r="S459" s="82">
        <v>0.61</v>
      </c>
    </row>
    <row r="460" spans="1:19">
      <c r="A460" s="19">
        <f t="shared" si="56"/>
        <v>51440</v>
      </c>
      <c r="B460" s="19">
        <f t="shared" si="55"/>
        <v>51804</v>
      </c>
      <c r="C460" s="86">
        <f t="shared" si="57"/>
        <v>0.26</v>
      </c>
      <c r="D460" s="86">
        <f t="shared" si="57"/>
        <v>0.27900000000000003</v>
      </c>
      <c r="E460" s="86">
        <f t="shared" si="57"/>
        <v>6.0999999999999999E-2</v>
      </c>
      <c r="F460" s="86">
        <f t="shared" si="57"/>
        <v>2.5999999999999999E-2</v>
      </c>
      <c r="G460" s="87">
        <v>0.26</v>
      </c>
      <c r="H460" s="87">
        <v>0.27900000000000003</v>
      </c>
      <c r="I460" s="87">
        <v>6.0999999999999999E-2</v>
      </c>
      <c r="J460" s="87">
        <v>2.5999999999999999E-2</v>
      </c>
      <c r="K460" s="25">
        <f>((10/3)*L458)+((2/3)*L470)</f>
        <v>47218</v>
      </c>
      <c r="L460" s="95"/>
      <c r="M460" s="82">
        <f t="shared" si="52"/>
        <v>0.6</v>
      </c>
      <c r="N460" s="82">
        <v>0.26</v>
      </c>
      <c r="O460" s="82">
        <f t="shared" si="53"/>
        <v>0.61</v>
      </c>
      <c r="P460" s="82">
        <v>0.34620000000000001</v>
      </c>
      <c r="Q460" s="82">
        <v>0.69640000000000002</v>
      </c>
      <c r="R460" s="82">
        <v>0.6</v>
      </c>
      <c r="S460" s="82">
        <v>0.61</v>
      </c>
    </row>
    <row r="461" spans="1:19">
      <c r="A461" s="19">
        <f t="shared" si="56"/>
        <v>51470</v>
      </c>
      <c r="B461" s="19">
        <f t="shared" si="55"/>
        <v>51834</v>
      </c>
      <c r="C461" s="86">
        <f t="shared" si="57"/>
        <v>0.26</v>
      </c>
      <c r="D461" s="86">
        <f t="shared" si="57"/>
        <v>0.27900000000000003</v>
      </c>
      <c r="E461" s="86">
        <f t="shared" si="57"/>
        <v>6.0999999999999999E-2</v>
      </c>
      <c r="F461" s="86">
        <f t="shared" si="57"/>
        <v>2.5999999999999999E-2</v>
      </c>
      <c r="G461" s="87">
        <v>0.26</v>
      </c>
      <c r="H461" s="87">
        <v>0.27900000000000003</v>
      </c>
      <c r="I461" s="87">
        <v>6.0999999999999999E-2</v>
      </c>
      <c r="J461" s="87">
        <v>2.5999999999999999E-2</v>
      </c>
      <c r="K461" s="25">
        <f>((9/3)*L458)+((3/3)*L470)</f>
        <v>47413</v>
      </c>
      <c r="L461" s="95"/>
      <c r="M461" s="82">
        <f t="shared" si="52"/>
        <v>0.6</v>
      </c>
      <c r="N461" s="82">
        <v>0.26</v>
      </c>
      <c r="O461" s="82">
        <f t="shared" si="53"/>
        <v>0.61</v>
      </c>
      <c r="P461" s="82">
        <v>0.34620000000000001</v>
      </c>
      <c r="Q461" s="82">
        <v>0.69640000000000002</v>
      </c>
      <c r="R461" s="82">
        <v>0.6</v>
      </c>
      <c r="S461" s="82">
        <v>0.61</v>
      </c>
    </row>
    <row r="462" spans="1:19">
      <c r="A462" s="19">
        <f t="shared" si="56"/>
        <v>51501</v>
      </c>
      <c r="B462" s="19">
        <f t="shared" si="55"/>
        <v>51865</v>
      </c>
      <c r="C462" s="86">
        <f t="shared" si="57"/>
        <v>0.26</v>
      </c>
      <c r="D462" s="86">
        <f t="shared" si="57"/>
        <v>0.27900000000000003</v>
      </c>
      <c r="E462" s="86">
        <f t="shared" si="57"/>
        <v>6.0999999999999999E-2</v>
      </c>
      <c r="F462" s="86">
        <f t="shared" si="57"/>
        <v>2.5999999999999999E-2</v>
      </c>
      <c r="G462" s="87">
        <v>0.26</v>
      </c>
      <c r="H462" s="87">
        <v>0.27900000000000003</v>
      </c>
      <c r="I462" s="87">
        <v>6.0999999999999999E-2</v>
      </c>
      <c r="J462" s="87">
        <v>2.5999999999999999E-2</v>
      </c>
      <c r="K462" s="25">
        <f>((8/3)*L458)+((4/3)*L470)</f>
        <v>47608</v>
      </c>
      <c r="L462" s="95"/>
      <c r="M462" s="82">
        <f t="shared" si="52"/>
        <v>0.6</v>
      </c>
      <c r="N462" s="82">
        <v>0.26</v>
      </c>
      <c r="O462" s="82">
        <f t="shared" si="53"/>
        <v>0.61</v>
      </c>
      <c r="P462" s="82">
        <v>0.34620000000000001</v>
      </c>
      <c r="Q462" s="82">
        <v>0.69640000000000002</v>
      </c>
      <c r="R462" s="82">
        <v>0.6</v>
      </c>
      <c r="S462" s="82">
        <v>0.61</v>
      </c>
    </row>
    <row r="463" spans="1:19">
      <c r="A463" s="19">
        <f t="shared" si="56"/>
        <v>51532</v>
      </c>
      <c r="B463" s="19">
        <f t="shared" si="55"/>
        <v>51896</v>
      </c>
      <c r="C463" s="86">
        <f t="shared" si="57"/>
        <v>0.26</v>
      </c>
      <c r="D463" s="86">
        <f t="shared" si="57"/>
        <v>0.27900000000000003</v>
      </c>
      <c r="E463" s="86">
        <f t="shared" si="57"/>
        <v>6.0999999999999999E-2</v>
      </c>
      <c r="F463" s="86">
        <f t="shared" si="57"/>
        <v>2.5999999999999999E-2</v>
      </c>
      <c r="G463" s="87">
        <v>0.26</v>
      </c>
      <c r="H463" s="87">
        <v>0.27900000000000003</v>
      </c>
      <c r="I463" s="87">
        <v>6.0999999999999999E-2</v>
      </c>
      <c r="J463" s="87">
        <v>2.5999999999999999E-2</v>
      </c>
      <c r="K463" s="25">
        <f>((7/3)*L458)+((5/3)*L470)</f>
        <v>47803</v>
      </c>
      <c r="L463" s="95"/>
      <c r="M463" s="82">
        <f t="shared" si="52"/>
        <v>0.6</v>
      </c>
      <c r="N463" s="82">
        <v>0.26</v>
      </c>
      <c r="O463" s="82">
        <f t="shared" si="53"/>
        <v>0.61</v>
      </c>
      <c r="P463" s="82">
        <v>0.34620000000000001</v>
      </c>
      <c r="Q463" s="82">
        <v>0.69640000000000002</v>
      </c>
      <c r="R463" s="82">
        <v>0.6</v>
      </c>
      <c r="S463" s="82">
        <v>0.61</v>
      </c>
    </row>
    <row r="464" spans="1:19">
      <c r="A464" s="19">
        <f t="shared" si="56"/>
        <v>51560</v>
      </c>
      <c r="B464" s="19">
        <f t="shared" si="55"/>
        <v>51924</v>
      </c>
      <c r="C464" s="86">
        <f t="shared" si="57"/>
        <v>0.26</v>
      </c>
      <c r="D464" s="86">
        <f t="shared" si="57"/>
        <v>0.27900000000000003</v>
      </c>
      <c r="E464" s="86">
        <f t="shared" si="57"/>
        <v>6.0999999999999999E-2</v>
      </c>
      <c r="F464" s="86">
        <f t="shared" si="57"/>
        <v>2.5999999999999999E-2</v>
      </c>
      <c r="G464" s="87">
        <v>0.26</v>
      </c>
      <c r="H464" s="87">
        <v>0.27900000000000003</v>
      </c>
      <c r="I464" s="87">
        <v>6.0999999999999999E-2</v>
      </c>
      <c r="J464" s="87">
        <v>2.5999999999999999E-2</v>
      </c>
      <c r="K464" s="25">
        <f>((6/3)*L458)+((6/3)*L470)</f>
        <v>47998</v>
      </c>
      <c r="L464" s="95"/>
      <c r="M464" s="82">
        <f t="shared" si="52"/>
        <v>0.6</v>
      </c>
      <c r="N464" s="82">
        <v>0.26</v>
      </c>
      <c r="O464" s="82">
        <f t="shared" si="53"/>
        <v>0.61</v>
      </c>
      <c r="P464" s="82">
        <v>0.34620000000000001</v>
      </c>
      <c r="Q464" s="82">
        <v>0.69640000000000002</v>
      </c>
      <c r="R464" s="82">
        <v>0.6</v>
      </c>
      <c r="S464" s="82">
        <v>0.61</v>
      </c>
    </row>
    <row r="465" spans="1:19">
      <c r="A465" s="19">
        <f t="shared" si="56"/>
        <v>51591</v>
      </c>
      <c r="B465" s="19">
        <f t="shared" si="55"/>
        <v>51955</v>
      </c>
      <c r="C465" s="86">
        <f t="shared" si="57"/>
        <v>0.26</v>
      </c>
      <c r="D465" s="86">
        <f t="shared" si="57"/>
        <v>0.27900000000000003</v>
      </c>
      <c r="E465" s="86">
        <f t="shared" si="57"/>
        <v>6.0999999999999999E-2</v>
      </c>
      <c r="F465" s="86">
        <f t="shared" si="57"/>
        <v>2.5999999999999999E-2</v>
      </c>
      <c r="G465" s="87">
        <v>0.26</v>
      </c>
      <c r="H465" s="87">
        <v>0.27900000000000003</v>
      </c>
      <c r="I465" s="87">
        <v>6.0999999999999999E-2</v>
      </c>
      <c r="J465" s="87">
        <v>2.5999999999999999E-2</v>
      </c>
      <c r="K465" s="25">
        <f>((5/3)*L458)+((7/3)*L470)</f>
        <v>48193</v>
      </c>
      <c r="L465" s="95"/>
      <c r="M465" s="82">
        <f t="shared" si="52"/>
        <v>0.6</v>
      </c>
      <c r="N465" s="82">
        <v>0.26</v>
      </c>
      <c r="O465" s="82">
        <f t="shared" si="53"/>
        <v>0.61</v>
      </c>
      <c r="P465" s="82">
        <v>0.34620000000000001</v>
      </c>
      <c r="Q465" s="82">
        <v>0.69640000000000002</v>
      </c>
      <c r="R465" s="82">
        <v>0.6</v>
      </c>
      <c r="S465" s="82">
        <v>0.61</v>
      </c>
    </row>
    <row r="466" spans="1:19">
      <c r="A466" s="19">
        <f t="shared" si="56"/>
        <v>51621</v>
      </c>
      <c r="B466" s="19">
        <f t="shared" si="55"/>
        <v>51985</v>
      </c>
      <c r="C466" s="86">
        <f t="shared" si="57"/>
        <v>0.26</v>
      </c>
      <c r="D466" s="86">
        <f t="shared" si="57"/>
        <v>0.27900000000000003</v>
      </c>
      <c r="E466" s="86">
        <f t="shared" si="57"/>
        <v>6.0999999999999999E-2</v>
      </c>
      <c r="F466" s="86">
        <f t="shared" si="57"/>
        <v>2.5999999999999999E-2</v>
      </c>
      <c r="G466" s="87">
        <v>0.26</v>
      </c>
      <c r="H466" s="87">
        <v>0.27900000000000003</v>
      </c>
      <c r="I466" s="87">
        <v>6.0999999999999999E-2</v>
      </c>
      <c r="J466" s="87">
        <v>2.5999999999999999E-2</v>
      </c>
      <c r="K466" s="25">
        <f>((4/3)*L458)+((8/3)*L470)</f>
        <v>48388</v>
      </c>
      <c r="L466" s="95"/>
      <c r="M466" s="82">
        <f t="shared" si="52"/>
        <v>0.6</v>
      </c>
      <c r="N466" s="82">
        <v>0.26</v>
      </c>
      <c r="O466" s="82">
        <f t="shared" si="53"/>
        <v>0.61</v>
      </c>
      <c r="P466" s="82">
        <v>0.34620000000000001</v>
      </c>
      <c r="Q466" s="82">
        <v>0.69640000000000002</v>
      </c>
      <c r="R466" s="82">
        <v>0.6</v>
      </c>
      <c r="S466" s="82">
        <v>0.61</v>
      </c>
    </row>
    <row r="467" spans="1:19">
      <c r="A467" s="19">
        <f t="shared" si="56"/>
        <v>51652</v>
      </c>
      <c r="B467" s="19">
        <f t="shared" si="55"/>
        <v>52016</v>
      </c>
      <c r="C467" s="86">
        <f t="shared" ref="C467:F482" si="58">AVERAGE(G467:G478)</f>
        <v>0.26</v>
      </c>
      <c r="D467" s="86">
        <f t="shared" si="58"/>
        <v>0.27900000000000003</v>
      </c>
      <c r="E467" s="86">
        <f t="shared" si="58"/>
        <v>6.0999999999999999E-2</v>
      </c>
      <c r="F467" s="86">
        <f t="shared" si="58"/>
        <v>2.5999999999999999E-2</v>
      </c>
      <c r="G467" s="87">
        <v>0.26</v>
      </c>
      <c r="H467" s="87">
        <v>0.27900000000000003</v>
      </c>
      <c r="I467" s="87">
        <v>6.0999999999999999E-2</v>
      </c>
      <c r="J467" s="87">
        <v>2.5999999999999999E-2</v>
      </c>
      <c r="K467" s="25">
        <f>((3/3)*L458)+((9/3)*L470)</f>
        <v>48583</v>
      </c>
      <c r="L467" s="95"/>
      <c r="M467" s="82">
        <f t="shared" si="52"/>
        <v>0.6</v>
      </c>
      <c r="N467" s="82">
        <v>0.26</v>
      </c>
      <c r="O467" s="82">
        <f t="shared" si="53"/>
        <v>0.61</v>
      </c>
      <c r="P467" s="82">
        <v>0.34620000000000001</v>
      </c>
      <c r="Q467" s="82">
        <v>0.69640000000000002</v>
      </c>
      <c r="R467" s="82">
        <v>0.6</v>
      </c>
      <c r="S467" s="82">
        <v>0.61</v>
      </c>
    </row>
    <row r="468" spans="1:19">
      <c r="A468" s="19">
        <f t="shared" si="56"/>
        <v>51682</v>
      </c>
      <c r="B468" s="19">
        <f t="shared" si="55"/>
        <v>52046</v>
      </c>
      <c r="C468" s="86">
        <f t="shared" si="58"/>
        <v>0.26</v>
      </c>
      <c r="D468" s="86">
        <f t="shared" si="58"/>
        <v>0.27900000000000003</v>
      </c>
      <c r="E468" s="86">
        <f t="shared" si="58"/>
        <v>6.0999999999999999E-2</v>
      </c>
      <c r="F468" s="86">
        <f t="shared" si="58"/>
        <v>2.5999999999999999E-2</v>
      </c>
      <c r="G468" s="87">
        <v>0.26</v>
      </c>
      <c r="H468" s="87">
        <v>0.27900000000000003</v>
      </c>
      <c r="I468" s="87">
        <v>6.0999999999999999E-2</v>
      </c>
      <c r="J468" s="87">
        <v>2.5999999999999999E-2</v>
      </c>
      <c r="K468" s="25">
        <f>((2/3)*L458)+((10/3)*L470)</f>
        <v>48779</v>
      </c>
      <c r="L468" s="95"/>
      <c r="M468" s="82">
        <f t="shared" si="52"/>
        <v>0.6</v>
      </c>
      <c r="N468" s="82">
        <v>0.26</v>
      </c>
      <c r="O468" s="82">
        <f t="shared" si="53"/>
        <v>0.61</v>
      </c>
      <c r="P468" s="82">
        <v>0.34620000000000001</v>
      </c>
      <c r="Q468" s="82">
        <v>0.69640000000000002</v>
      </c>
      <c r="R468" s="82">
        <v>0.6</v>
      </c>
      <c r="S468" s="82">
        <v>0.61</v>
      </c>
    </row>
    <row r="469" spans="1:19">
      <c r="A469" s="19">
        <f t="shared" si="56"/>
        <v>51713</v>
      </c>
      <c r="B469" s="19">
        <f t="shared" si="55"/>
        <v>52077</v>
      </c>
      <c r="C469" s="83">
        <f t="shared" si="58"/>
        <v>0.26</v>
      </c>
      <c r="D469" s="83">
        <f t="shared" si="58"/>
        <v>0.27900000000000003</v>
      </c>
      <c r="E469" s="83">
        <f t="shared" si="58"/>
        <v>6.0999999999999999E-2</v>
      </c>
      <c r="F469" s="83">
        <f t="shared" si="58"/>
        <v>2.5999999999999999E-2</v>
      </c>
      <c r="G469" s="87">
        <v>0.26</v>
      </c>
      <c r="H469" s="87">
        <v>0.27900000000000003</v>
      </c>
      <c r="I469" s="87">
        <v>6.0999999999999999E-2</v>
      </c>
      <c r="J469" s="87">
        <v>2.5999999999999999E-2</v>
      </c>
      <c r="K469" s="25">
        <f>((1/3)*L458)+((11/3)*L470)</f>
        <v>48974</v>
      </c>
      <c r="L469" s="95"/>
      <c r="M469" s="82">
        <f t="shared" si="52"/>
        <v>0.6</v>
      </c>
      <c r="N469" s="82">
        <v>0.26</v>
      </c>
      <c r="O469" s="82">
        <f t="shared" si="53"/>
        <v>0.61</v>
      </c>
      <c r="P469" s="82">
        <v>0.34620000000000001</v>
      </c>
      <c r="Q469" s="82">
        <v>0.69640000000000002</v>
      </c>
      <c r="R469" s="82">
        <v>0.6</v>
      </c>
      <c r="S469" s="82">
        <v>0.61</v>
      </c>
    </row>
    <row r="470" spans="1:19" s="80" customFormat="1">
      <c r="A470" s="79">
        <f t="shared" si="56"/>
        <v>51744</v>
      </c>
      <c r="B470" s="79">
        <f t="shared" si="55"/>
        <v>52108</v>
      </c>
      <c r="C470" s="88">
        <f t="shared" si="58"/>
        <v>0.26</v>
      </c>
      <c r="D470" s="88">
        <f t="shared" si="58"/>
        <v>0.27900000000000003</v>
      </c>
      <c r="E470" s="88">
        <f t="shared" si="58"/>
        <v>6.0999999999999999E-2</v>
      </c>
      <c r="F470" s="88">
        <f t="shared" si="58"/>
        <v>2.5999999999999999E-2</v>
      </c>
      <c r="G470" s="89">
        <v>0.26</v>
      </c>
      <c r="H470" s="89">
        <v>0.27900000000000003</v>
      </c>
      <c r="I470" s="89">
        <v>6.0999999999999999E-2</v>
      </c>
      <c r="J470" s="89">
        <v>2.5999999999999999E-2</v>
      </c>
      <c r="K470" s="78">
        <f>(L470*4)</f>
        <v>49169</v>
      </c>
      <c r="L470" s="96">
        <f>L458*1.05</f>
        <v>12292.2</v>
      </c>
      <c r="M470" s="355">
        <f t="shared" si="52"/>
        <v>0.6</v>
      </c>
      <c r="N470" s="355">
        <v>0.26</v>
      </c>
      <c r="O470" s="355">
        <f t="shared" si="53"/>
        <v>0.61</v>
      </c>
      <c r="P470" s="355">
        <v>0.34620000000000001</v>
      </c>
      <c r="Q470" s="355">
        <v>0.69640000000000002</v>
      </c>
      <c r="R470" s="355">
        <v>0.6</v>
      </c>
      <c r="S470" s="355">
        <v>0.61</v>
      </c>
    </row>
    <row r="471" spans="1:19" s="80" customFormat="1">
      <c r="A471" s="79">
        <f t="shared" si="56"/>
        <v>51774</v>
      </c>
      <c r="B471" s="79">
        <f t="shared" si="55"/>
        <v>52138</v>
      </c>
      <c r="C471" s="88">
        <f t="shared" si="58"/>
        <v>0.26</v>
      </c>
      <c r="D471" s="88">
        <f t="shared" si="58"/>
        <v>0.27900000000000003</v>
      </c>
      <c r="E471" s="88">
        <f t="shared" si="58"/>
        <v>6.0999999999999999E-2</v>
      </c>
      <c r="F471" s="88">
        <f t="shared" si="58"/>
        <v>2.5999999999999999E-2</v>
      </c>
      <c r="G471" s="89">
        <v>0.26</v>
      </c>
      <c r="H471" s="89">
        <v>0.27900000000000003</v>
      </c>
      <c r="I471" s="89">
        <v>6.0999999999999999E-2</v>
      </c>
      <c r="J471" s="89">
        <v>2.5999999999999999E-2</v>
      </c>
      <c r="K471" s="78">
        <f>((11/3)*L470)+((1/3)*L482)</f>
        <v>49374</v>
      </c>
      <c r="L471" s="96"/>
      <c r="M471" s="355">
        <f t="shared" si="52"/>
        <v>0.6</v>
      </c>
      <c r="N471" s="355">
        <v>0.26</v>
      </c>
      <c r="O471" s="355">
        <f t="shared" si="53"/>
        <v>0.61</v>
      </c>
      <c r="P471" s="355">
        <v>0.34620000000000001</v>
      </c>
      <c r="Q471" s="355">
        <v>0.69640000000000002</v>
      </c>
      <c r="R471" s="355">
        <v>0.6</v>
      </c>
      <c r="S471" s="355">
        <v>0.61</v>
      </c>
    </row>
    <row r="472" spans="1:19" s="80" customFormat="1">
      <c r="A472" s="79">
        <f t="shared" si="56"/>
        <v>51805</v>
      </c>
      <c r="B472" s="79">
        <f t="shared" si="55"/>
        <v>52169</v>
      </c>
      <c r="C472" s="88">
        <f t="shared" si="58"/>
        <v>0.26</v>
      </c>
      <c r="D472" s="88">
        <f t="shared" si="58"/>
        <v>0.27900000000000003</v>
      </c>
      <c r="E472" s="88">
        <f t="shared" si="58"/>
        <v>6.0999999999999999E-2</v>
      </c>
      <c r="F472" s="88">
        <f t="shared" si="58"/>
        <v>2.5999999999999999E-2</v>
      </c>
      <c r="G472" s="89">
        <v>0.26</v>
      </c>
      <c r="H472" s="89">
        <v>0.27900000000000003</v>
      </c>
      <c r="I472" s="89">
        <v>6.0999999999999999E-2</v>
      </c>
      <c r="J472" s="89">
        <v>2.5999999999999999E-2</v>
      </c>
      <c r="K472" s="78">
        <f>((10/3)*L470)+((2/3)*L482)</f>
        <v>49579</v>
      </c>
      <c r="L472" s="96"/>
      <c r="M472" s="355">
        <f t="shared" si="52"/>
        <v>0.6</v>
      </c>
      <c r="N472" s="355">
        <v>0.26</v>
      </c>
      <c r="O472" s="355">
        <f t="shared" si="53"/>
        <v>0.61</v>
      </c>
      <c r="P472" s="355">
        <v>0.34620000000000001</v>
      </c>
      <c r="Q472" s="355">
        <v>0.69640000000000002</v>
      </c>
      <c r="R472" s="355">
        <v>0.6</v>
      </c>
      <c r="S472" s="355">
        <v>0.61</v>
      </c>
    </row>
    <row r="473" spans="1:19" s="80" customFormat="1">
      <c r="A473" s="79">
        <f t="shared" si="56"/>
        <v>51835</v>
      </c>
      <c r="B473" s="79">
        <f t="shared" si="55"/>
        <v>52199</v>
      </c>
      <c r="C473" s="88">
        <f t="shared" si="58"/>
        <v>0.26</v>
      </c>
      <c r="D473" s="88">
        <f t="shared" si="58"/>
        <v>0.27900000000000003</v>
      </c>
      <c r="E473" s="88">
        <f t="shared" si="58"/>
        <v>6.0999999999999999E-2</v>
      </c>
      <c r="F473" s="88">
        <f t="shared" si="58"/>
        <v>2.5999999999999999E-2</v>
      </c>
      <c r="G473" s="89">
        <v>0.26</v>
      </c>
      <c r="H473" s="89">
        <v>0.27900000000000003</v>
      </c>
      <c r="I473" s="89">
        <v>6.0999999999999999E-2</v>
      </c>
      <c r="J473" s="89">
        <v>2.5999999999999999E-2</v>
      </c>
      <c r="K473" s="78">
        <f>((9/3)*L470)+((3/3)*L482)</f>
        <v>49783</v>
      </c>
      <c r="L473" s="96"/>
      <c r="M473" s="355">
        <f t="shared" si="52"/>
        <v>0.6</v>
      </c>
      <c r="N473" s="355">
        <v>0.26</v>
      </c>
      <c r="O473" s="355">
        <f t="shared" si="53"/>
        <v>0.61</v>
      </c>
      <c r="P473" s="355">
        <v>0.34620000000000001</v>
      </c>
      <c r="Q473" s="355">
        <v>0.69640000000000002</v>
      </c>
      <c r="R473" s="355">
        <v>0.6</v>
      </c>
      <c r="S473" s="355">
        <v>0.61</v>
      </c>
    </row>
    <row r="474" spans="1:19" s="80" customFormat="1">
      <c r="A474" s="79">
        <f t="shared" si="56"/>
        <v>51866</v>
      </c>
      <c r="B474" s="79">
        <f t="shared" si="55"/>
        <v>52230</v>
      </c>
      <c r="C474" s="88">
        <f t="shared" si="58"/>
        <v>0.26</v>
      </c>
      <c r="D474" s="88">
        <f t="shared" si="58"/>
        <v>0.27900000000000003</v>
      </c>
      <c r="E474" s="88">
        <f t="shared" si="58"/>
        <v>6.0999999999999999E-2</v>
      </c>
      <c r="F474" s="88">
        <f t="shared" si="58"/>
        <v>2.5999999999999999E-2</v>
      </c>
      <c r="G474" s="89">
        <v>0.26</v>
      </c>
      <c r="H474" s="89">
        <v>0.27900000000000003</v>
      </c>
      <c r="I474" s="89">
        <v>6.0999999999999999E-2</v>
      </c>
      <c r="J474" s="89">
        <v>2.5999999999999999E-2</v>
      </c>
      <c r="K474" s="78">
        <f>((8/3)*L470)+((4/3)*L482)</f>
        <v>49988</v>
      </c>
      <c r="L474" s="96"/>
      <c r="M474" s="355">
        <f t="shared" si="52"/>
        <v>0.6</v>
      </c>
      <c r="N474" s="355">
        <v>0.26</v>
      </c>
      <c r="O474" s="355">
        <f t="shared" si="53"/>
        <v>0.61</v>
      </c>
      <c r="P474" s="355">
        <v>0.34620000000000001</v>
      </c>
      <c r="Q474" s="355">
        <v>0.69640000000000002</v>
      </c>
      <c r="R474" s="355">
        <v>0.6</v>
      </c>
      <c r="S474" s="355">
        <v>0.61</v>
      </c>
    </row>
    <row r="475" spans="1:19" s="80" customFormat="1">
      <c r="A475" s="79">
        <f t="shared" si="56"/>
        <v>51897</v>
      </c>
      <c r="B475" s="79">
        <f t="shared" si="55"/>
        <v>52261</v>
      </c>
      <c r="C475" s="88">
        <f t="shared" si="58"/>
        <v>0.26</v>
      </c>
      <c r="D475" s="88">
        <f t="shared" si="58"/>
        <v>0.27900000000000003</v>
      </c>
      <c r="E475" s="88">
        <f t="shared" si="58"/>
        <v>6.0999999999999999E-2</v>
      </c>
      <c r="F475" s="88">
        <f t="shared" si="58"/>
        <v>2.5999999999999999E-2</v>
      </c>
      <c r="G475" s="89">
        <v>0.26</v>
      </c>
      <c r="H475" s="89">
        <v>0.27900000000000003</v>
      </c>
      <c r="I475" s="89">
        <v>6.0999999999999999E-2</v>
      </c>
      <c r="J475" s="89">
        <v>2.5999999999999999E-2</v>
      </c>
      <c r="K475" s="78">
        <f>((7/3)*L470)+((5/3)*L482)</f>
        <v>50193</v>
      </c>
      <c r="L475" s="96"/>
      <c r="M475" s="355">
        <f t="shared" si="52"/>
        <v>0.6</v>
      </c>
      <c r="N475" s="355">
        <v>0.26</v>
      </c>
      <c r="O475" s="355">
        <f t="shared" si="53"/>
        <v>0.61</v>
      </c>
      <c r="P475" s="355">
        <v>0.34620000000000001</v>
      </c>
      <c r="Q475" s="355">
        <v>0.69640000000000002</v>
      </c>
      <c r="R475" s="355">
        <v>0.6</v>
      </c>
      <c r="S475" s="355">
        <v>0.61</v>
      </c>
    </row>
    <row r="476" spans="1:19" s="80" customFormat="1">
      <c r="A476" s="79">
        <f t="shared" si="56"/>
        <v>51925</v>
      </c>
      <c r="B476" s="79">
        <f t="shared" si="55"/>
        <v>52289</v>
      </c>
      <c r="C476" s="88">
        <f t="shared" si="58"/>
        <v>0.26</v>
      </c>
      <c r="D476" s="88">
        <f t="shared" si="58"/>
        <v>0.27900000000000003</v>
      </c>
      <c r="E476" s="88">
        <f t="shared" si="58"/>
        <v>6.0999999999999999E-2</v>
      </c>
      <c r="F476" s="88">
        <f t="shared" si="58"/>
        <v>2.5999999999999999E-2</v>
      </c>
      <c r="G476" s="89">
        <v>0.26</v>
      </c>
      <c r="H476" s="89">
        <v>0.27900000000000003</v>
      </c>
      <c r="I476" s="89">
        <v>6.0999999999999999E-2</v>
      </c>
      <c r="J476" s="89">
        <v>2.5999999999999999E-2</v>
      </c>
      <c r="K476" s="78">
        <f>((6/3)*L470)+((6/3)*L482)</f>
        <v>50398</v>
      </c>
      <c r="L476" s="96"/>
      <c r="M476" s="355">
        <f t="shared" si="52"/>
        <v>0.6</v>
      </c>
      <c r="N476" s="355">
        <v>0.26</v>
      </c>
      <c r="O476" s="355">
        <f t="shared" si="53"/>
        <v>0.61</v>
      </c>
      <c r="P476" s="355">
        <v>0.34620000000000001</v>
      </c>
      <c r="Q476" s="355">
        <v>0.69640000000000002</v>
      </c>
      <c r="R476" s="355">
        <v>0.6</v>
      </c>
      <c r="S476" s="355">
        <v>0.61</v>
      </c>
    </row>
    <row r="477" spans="1:19" s="80" customFormat="1">
      <c r="A477" s="79">
        <f t="shared" si="56"/>
        <v>51956</v>
      </c>
      <c r="B477" s="79">
        <f t="shared" si="55"/>
        <v>52320</v>
      </c>
      <c r="C477" s="88">
        <f t="shared" si="58"/>
        <v>0.26</v>
      </c>
      <c r="D477" s="88">
        <f t="shared" si="58"/>
        <v>0.27900000000000003</v>
      </c>
      <c r="E477" s="88">
        <f t="shared" si="58"/>
        <v>6.0999999999999999E-2</v>
      </c>
      <c r="F477" s="88">
        <f t="shared" si="58"/>
        <v>2.5999999999999999E-2</v>
      </c>
      <c r="G477" s="89">
        <v>0.26</v>
      </c>
      <c r="H477" s="89">
        <v>0.27900000000000003</v>
      </c>
      <c r="I477" s="89">
        <v>6.0999999999999999E-2</v>
      </c>
      <c r="J477" s="89">
        <v>2.5999999999999999E-2</v>
      </c>
      <c r="K477" s="78">
        <f>((5/3)*L470)+((7/3)*L482)</f>
        <v>50603</v>
      </c>
      <c r="L477" s="96"/>
      <c r="M477" s="355">
        <f t="shared" si="52"/>
        <v>0.6</v>
      </c>
      <c r="N477" s="355">
        <v>0.26</v>
      </c>
      <c r="O477" s="355">
        <f t="shared" si="53"/>
        <v>0.61</v>
      </c>
      <c r="P477" s="355">
        <v>0.34620000000000001</v>
      </c>
      <c r="Q477" s="355">
        <v>0.69640000000000002</v>
      </c>
      <c r="R477" s="355">
        <v>0.6</v>
      </c>
      <c r="S477" s="355">
        <v>0.61</v>
      </c>
    </row>
    <row r="478" spans="1:19" s="80" customFormat="1">
      <c r="A478" s="79">
        <f t="shared" si="56"/>
        <v>51986</v>
      </c>
      <c r="B478" s="79">
        <f t="shared" si="55"/>
        <v>52350</v>
      </c>
      <c r="C478" s="88">
        <f t="shared" si="58"/>
        <v>0.26</v>
      </c>
      <c r="D478" s="88">
        <f t="shared" si="58"/>
        <v>0.27900000000000003</v>
      </c>
      <c r="E478" s="88">
        <f t="shared" si="58"/>
        <v>6.0999999999999999E-2</v>
      </c>
      <c r="F478" s="88">
        <f t="shared" si="58"/>
        <v>2.5999999999999999E-2</v>
      </c>
      <c r="G478" s="89">
        <v>0.26</v>
      </c>
      <c r="H478" s="89">
        <v>0.27900000000000003</v>
      </c>
      <c r="I478" s="89">
        <v>6.0999999999999999E-2</v>
      </c>
      <c r="J478" s="89">
        <v>2.5999999999999999E-2</v>
      </c>
      <c r="K478" s="78">
        <f>((4/3)*L470)+((8/3)*L482)</f>
        <v>50808</v>
      </c>
      <c r="L478" s="96"/>
      <c r="M478" s="355">
        <f t="shared" si="52"/>
        <v>0.6</v>
      </c>
      <c r="N478" s="355">
        <v>0.26</v>
      </c>
      <c r="O478" s="355">
        <f t="shared" si="53"/>
        <v>0.61</v>
      </c>
      <c r="P478" s="355">
        <v>0.34620000000000001</v>
      </c>
      <c r="Q478" s="355">
        <v>0.69640000000000002</v>
      </c>
      <c r="R478" s="355">
        <v>0.6</v>
      </c>
      <c r="S478" s="355">
        <v>0.61</v>
      </c>
    </row>
    <row r="479" spans="1:19" s="80" customFormat="1">
      <c r="A479" s="79">
        <f t="shared" si="56"/>
        <v>52017</v>
      </c>
      <c r="B479" s="79">
        <f t="shared" si="55"/>
        <v>52381</v>
      </c>
      <c r="C479" s="88">
        <f t="shared" si="58"/>
        <v>0.26</v>
      </c>
      <c r="D479" s="88">
        <f t="shared" si="58"/>
        <v>0.27900000000000003</v>
      </c>
      <c r="E479" s="88">
        <f t="shared" si="58"/>
        <v>6.0999999999999999E-2</v>
      </c>
      <c r="F479" s="88">
        <f t="shared" si="58"/>
        <v>2.5999999999999999E-2</v>
      </c>
      <c r="G479" s="89">
        <v>0.26</v>
      </c>
      <c r="H479" s="89">
        <v>0.27900000000000003</v>
      </c>
      <c r="I479" s="89">
        <v>6.0999999999999999E-2</v>
      </c>
      <c r="J479" s="89">
        <v>2.5999999999999999E-2</v>
      </c>
      <c r="K479" s="78">
        <f>((3/3)*L470)+((9/3)*L482)</f>
        <v>51013</v>
      </c>
      <c r="L479" s="96"/>
      <c r="M479" s="355">
        <f t="shared" si="52"/>
        <v>0.6</v>
      </c>
      <c r="N479" s="355">
        <v>0.26</v>
      </c>
      <c r="O479" s="355">
        <f t="shared" si="53"/>
        <v>0.61</v>
      </c>
      <c r="P479" s="355">
        <v>0.34620000000000001</v>
      </c>
      <c r="Q479" s="355">
        <v>0.69640000000000002</v>
      </c>
      <c r="R479" s="355">
        <v>0.6</v>
      </c>
      <c r="S479" s="355">
        <v>0.61</v>
      </c>
    </row>
    <row r="480" spans="1:19" s="80" customFormat="1">
      <c r="A480" s="79">
        <f t="shared" si="56"/>
        <v>52047</v>
      </c>
      <c r="B480" s="79">
        <f t="shared" si="55"/>
        <v>52411</v>
      </c>
      <c r="C480" s="88">
        <f t="shared" si="58"/>
        <v>0.26</v>
      </c>
      <c r="D480" s="88">
        <f t="shared" si="58"/>
        <v>0.27900000000000003</v>
      </c>
      <c r="E480" s="88">
        <f t="shared" si="58"/>
        <v>6.0999999999999999E-2</v>
      </c>
      <c r="F480" s="88">
        <f t="shared" si="58"/>
        <v>2.5999999999999999E-2</v>
      </c>
      <c r="G480" s="89">
        <v>0.26</v>
      </c>
      <c r="H480" s="89">
        <v>0.27900000000000003</v>
      </c>
      <c r="I480" s="89">
        <v>6.0999999999999999E-2</v>
      </c>
      <c r="J480" s="89">
        <v>2.5999999999999999E-2</v>
      </c>
      <c r="K480" s="78">
        <f>((2/3)*L470)+((10/3)*L482)</f>
        <v>51218</v>
      </c>
      <c r="L480" s="96"/>
      <c r="M480" s="355">
        <f t="shared" si="52"/>
        <v>0.6</v>
      </c>
      <c r="N480" s="355">
        <v>0.26</v>
      </c>
      <c r="O480" s="355">
        <f t="shared" si="53"/>
        <v>0.61</v>
      </c>
      <c r="P480" s="355">
        <v>0.34620000000000001</v>
      </c>
      <c r="Q480" s="355">
        <v>0.69640000000000002</v>
      </c>
      <c r="R480" s="355">
        <v>0.6</v>
      </c>
      <c r="S480" s="355">
        <v>0.61</v>
      </c>
    </row>
    <row r="481" spans="1:19" s="80" customFormat="1">
      <c r="A481" s="79">
        <f t="shared" si="56"/>
        <v>52078</v>
      </c>
      <c r="B481" s="79">
        <f t="shared" si="55"/>
        <v>52442</v>
      </c>
      <c r="C481" s="88">
        <f t="shared" si="58"/>
        <v>0.26</v>
      </c>
      <c r="D481" s="88">
        <f t="shared" si="58"/>
        <v>0.27900000000000003</v>
      </c>
      <c r="E481" s="88">
        <f t="shared" si="58"/>
        <v>6.0999999999999999E-2</v>
      </c>
      <c r="F481" s="88">
        <f t="shared" si="58"/>
        <v>2.5999999999999999E-2</v>
      </c>
      <c r="G481" s="89">
        <v>0.26</v>
      </c>
      <c r="H481" s="89">
        <v>0.27900000000000003</v>
      </c>
      <c r="I481" s="89">
        <v>6.0999999999999999E-2</v>
      </c>
      <c r="J481" s="89">
        <v>2.5999999999999999E-2</v>
      </c>
      <c r="K481" s="78">
        <f>((1/3)*L470)+((11/3)*L482)</f>
        <v>51422</v>
      </c>
      <c r="L481" s="96"/>
      <c r="M481" s="355">
        <f t="shared" si="52"/>
        <v>0.6</v>
      </c>
      <c r="N481" s="355">
        <v>0.26</v>
      </c>
      <c r="O481" s="355">
        <f t="shared" si="53"/>
        <v>0.61</v>
      </c>
      <c r="P481" s="355">
        <v>0.34620000000000001</v>
      </c>
      <c r="Q481" s="355">
        <v>0.69640000000000002</v>
      </c>
      <c r="R481" s="355">
        <v>0.6</v>
      </c>
      <c r="S481" s="355">
        <v>0.61</v>
      </c>
    </row>
    <row r="482" spans="1:19">
      <c r="A482" s="19">
        <f t="shared" si="56"/>
        <v>52109</v>
      </c>
      <c r="B482" s="19">
        <f t="shared" si="55"/>
        <v>52473</v>
      </c>
      <c r="C482" s="86">
        <f t="shared" si="58"/>
        <v>0.26</v>
      </c>
      <c r="D482" s="86">
        <f t="shared" si="58"/>
        <v>0.27900000000000003</v>
      </c>
      <c r="E482" s="86">
        <f t="shared" si="58"/>
        <v>6.0999999999999999E-2</v>
      </c>
      <c r="F482" s="86">
        <f t="shared" si="58"/>
        <v>2.5999999999999999E-2</v>
      </c>
      <c r="G482" s="87">
        <v>0.26</v>
      </c>
      <c r="H482" s="87">
        <v>0.27900000000000003</v>
      </c>
      <c r="I482" s="87">
        <v>6.0999999999999999E-2</v>
      </c>
      <c r="J482" s="87">
        <v>2.5999999999999999E-2</v>
      </c>
      <c r="K482" s="25">
        <f>(L482*4)</f>
        <v>51627</v>
      </c>
      <c r="L482" s="95">
        <f>L470*1.05</f>
        <v>12906.81</v>
      </c>
      <c r="M482" s="82">
        <f t="shared" si="52"/>
        <v>0.6</v>
      </c>
      <c r="N482" s="82">
        <v>0.26</v>
      </c>
      <c r="O482" s="82">
        <f t="shared" si="53"/>
        <v>0.61</v>
      </c>
      <c r="P482" s="82">
        <v>0.34620000000000001</v>
      </c>
      <c r="Q482" s="82">
        <v>0.69640000000000002</v>
      </c>
      <c r="R482" s="82">
        <v>0.6</v>
      </c>
      <c r="S482" s="82">
        <v>0.61</v>
      </c>
    </row>
    <row r="483" spans="1:19">
      <c r="A483" s="19">
        <f t="shared" si="56"/>
        <v>52139</v>
      </c>
      <c r="B483" s="19">
        <f t="shared" si="55"/>
        <v>52503</v>
      </c>
      <c r="C483" s="86">
        <f t="shared" ref="C483:F498" si="59">AVERAGE(G483:G494)</f>
        <v>0.26</v>
      </c>
      <c r="D483" s="86">
        <f t="shared" si="59"/>
        <v>0.27900000000000003</v>
      </c>
      <c r="E483" s="86">
        <f t="shared" si="59"/>
        <v>6.0999999999999999E-2</v>
      </c>
      <c r="F483" s="86">
        <f t="shared" si="59"/>
        <v>2.5999999999999999E-2</v>
      </c>
      <c r="G483" s="87">
        <v>0.26</v>
      </c>
      <c r="H483" s="87">
        <v>0.27900000000000003</v>
      </c>
      <c r="I483" s="87">
        <v>6.0999999999999999E-2</v>
      </c>
      <c r="J483" s="87">
        <v>2.5999999999999999E-2</v>
      </c>
      <c r="K483" s="25">
        <f>((11/3)*L482)+((1/3)*L494)</f>
        <v>51842</v>
      </c>
      <c r="L483" s="95"/>
      <c r="M483" s="82">
        <f t="shared" si="52"/>
        <v>0.6</v>
      </c>
      <c r="N483" s="82">
        <v>0.26</v>
      </c>
      <c r="O483" s="82">
        <f t="shared" si="53"/>
        <v>0.61</v>
      </c>
      <c r="P483" s="82">
        <v>0.34620000000000001</v>
      </c>
      <c r="Q483" s="82">
        <v>0.69640000000000002</v>
      </c>
      <c r="R483" s="82">
        <v>0.6</v>
      </c>
      <c r="S483" s="82">
        <v>0.61</v>
      </c>
    </row>
    <row r="484" spans="1:19">
      <c r="A484" s="19">
        <f t="shared" si="56"/>
        <v>52170</v>
      </c>
      <c r="B484" s="19">
        <f t="shared" si="55"/>
        <v>52534</v>
      </c>
      <c r="C484" s="86">
        <f t="shared" si="59"/>
        <v>0.26</v>
      </c>
      <c r="D484" s="86">
        <f t="shared" si="59"/>
        <v>0.27900000000000003</v>
      </c>
      <c r="E484" s="86">
        <f t="shared" si="59"/>
        <v>6.0999999999999999E-2</v>
      </c>
      <c r="F484" s="86">
        <f t="shared" si="59"/>
        <v>2.5999999999999999E-2</v>
      </c>
      <c r="G484" s="87">
        <v>0.26</v>
      </c>
      <c r="H484" s="87">
        <v>0.27900000000000003</v>
      </c>
      <c r="I484" s="87">
        <v>6.0999999999999999E-2</v>
      </c>
      <c r="J484" s="87">
        <v>2.5999999999999999E-2</v>
      </c>
      <c r="K484" s="25">
        <f>((10/3)*L482)+((2/3)*L494)</f>
        <v>52057</v>
      </c>
      <c r="L484" s="95"/>
      <c r="M484" s="82">
        <f t="shared" si="52"/>
        <v>0.6</v>
      </c>
      <c r="N484" s="82">
        <v>0.26</v>
      </c>
      <c r="O484" s="82">
        <f t="shared" si="53"/>
        <v>0.61</v>
      </c>
      <c r="P484" s="82">
        <v>0.34620000000000001</v>
      </c>
      <c r="Q484" s="82">
        <v>0.69640000000000002</v>
      </c>
      <c r="R484" s="82">
        <v>0.6</v>
      </c>
      <c r="S484" s="82">
        <v>0.61</v>
      </c>
    </row>
    <row r="485" spans="1:19">
      <c r="A485" s="19">
        <f t="shared" si="56"/>
        <v>52200</v>
      </c>
      <c r="B485" s="19">
        <f t="shared" si="55"/>
        <v>52564</v>
      </c>
      <c r="C485" s="86">
        <f t="shared" si="59"/>
        <v>0.26</v>
      </c>
      <c r="D485" s="86">
        <f t="shared" si="59"/>
        <v>0.27900000000000003</v>
      </c>
      <c r="E485" s="86">
        <f t="shared" si="59"/>
        <v>6.0999999999999999E-2</v>
      </c>
      <c r="F485" s="86">
        <f t="shared" si="59"/>
        <v>2.5999999999999999E-2</v>
      </c>
      <c r="G485" s="87">
        <v>0.26</v>
      </c>
      <c r="H485" s="87">
        <v>0.27900000000000003</v>
      </c>
      <c r="I485" s="87">
        <v>6.0999999999999999E-2</v>
      </c>
      <c r="J485" s="87">
        <v>2.5999999999999999E-2</v>
      </c>
      <c r="K485" s="25">
        <f>((9/3)*L482)+((3/3)*L494)</f>
        <v>52273</v>
      </c>
      <c r="L485" s="95"/>
      <c r="M485" s="82">
        <f t="shared" si="52"/>
        <v>0.6</v>
      </c>
      <c r="N485" s="82">
        <v>0.26</v>
      </c>
      <c r="O485" s="82">
        <f t="shared" si="53"/>
        <v>0.61</v>
      </c>
      <c r="P485" s="82">
        <v>0.34620000000000001</v>
      </c>
      <c r="Q485" s="82">
        <v>0.69640000000000002</v>
      </c>
      <c r="R485" s="82">
        <v>0.6</v>
      </c>
      <c r="S485" s="82">
        <v>0.61</v>
      </c>
    </row>
    <row r="486" spans="1:19">
      <c r="A486" s="19">
        <f t="shared" si="56"/>
        <v>52231</v>
      </c>
      <c r="B486" s="19">
        <f t="shared" si="55"/>
        <v>52595</v>
      </c>
      <c r="C486" s="86">
        <f t="shared" si="59"/>
        <v>0.26</v>
      </c>
      <c r="D486" s="86">
        <f t="shared" si="59"/>
        <v>0.27900000000000003</v>
      </c>
      <c r="E486" s="86">
        <f t="shared" si="59"/>
        <v>6.0999999999999999E-2</v>
      </c>
      <c r="F486" s="86">
        <f t="shared" si="59"/>
        <v>2.5999999999999999E-2</v>
      </c>
      <c r="G486" s="87">
        <v>0.26</v>
      </c>
      <c r="H486" s="87">
        <v>0.27900000000000003</v>
      </c>
      <c r="I486" s="87">
        <v>6.0999999999999999E-2</v>
      </c>
      <c r="J486" s="87">
        <v>2.5999999999999999E-2</v>
      </c>
      <c r="K486" s="25">
        <f>((8/3)*L482)+((4/3)*L494)</f>
        <v>52488</v>
      </c>
      <c r="L486" s="95"/>
      <c r="M486" s="82">
        <f t="shared" si="52"/>
        <v>0.6</v>
      </c>
      <c r="N486" s="82">
        <v>0.26</v>
      </c>
      <c r="O486" s="82">
        <f t="shared" si="53"/>
        <v>0.61</v>
      </c>
      <c r="P486" s="82">
        <v>0.34620000000000001</v>
      </c>
      <c r="Q486" s="82">
        <v>0.69640000000000002</v>
      </c>
      <c r="R486" s="82">
        <v>0.6</v>
      </c>
      <c r="S486" s="82">
        <v>0.61</v>
      </c>
    </row>
    <row r="487" spans="1:19">
      <c r="A487" s="19">
        <f t="shared" si="56"/>
        <v>52262</v>
      </c>
      <c r="B487" s="19">
        <f t="shared" si="55"/>
        <v>52626</v>
      </c>
      <c r="C487" s="86">
        <f t="shared" si="59"/>
        <v>0.26</v>
      </c>
      <c r="D487" s="86">
        <f t="shared" si="59"/>
        <v>0.27900000000000003</v>
      </c>
      <c r="E487" s="86">
        <f t="shared" si="59"/>
        <v>6.0999999999999999E-2</v>
      </c>
      <c r="F487" s="86">
        <f t="shared" si="59"/>
        <v>2.5999999999999999E-2</v>
      </c>
      <c r="G487" s="87">
        <v>0.26</v>
      </c>
      <c r="H487" s="87">
        <v>0.27900000000000003</v>
      </c>
      <c r="I487" s="87">
        <v>6.0999999999999999E-2</v>
      </c>
      <c r="J487" s="87">
        <v>2.5999999999999999E-2</v>
      </c>
      <c r="K487" s="25">
        <f>((7/3)*L482)+((5/3)*L494)</f>
        <v>52703</v>
      </c>
      <c r="L487" s="95"/>
      <c r="M487" s="82">
        <f t="shared" si="52"/>
        <v>0.6</v>
      </c>
      <c r="N487" s="82">
        <v>0.26</v>
      </c>
      <c r="O487" s="82">
        <f t="shared" si="53"/>
        <v>0.61</v>
      </c>
      <c r="P487" s="82">
        <v>0.34620000000000001</v>
      </c>
      <c r="Q487" s="82">
        <v>0.69640000000000002</v>
      </c>
      <c r="R487" s="82">
        <v>0.6</v>
      </c>
      <c r="S487" s="82">
        <v>0.61</v>
      </c>
    </row>
    <row r="488" spans="1:19">
      <c r="A488" s="19">
        <f t="shared" si="56"/>
        <v>52290</v>
      </c>
      <c r="B488" s="19">
        <f t="shared" si="55"/>
        <v>52655</v>
      </c>
      <c r="C488" s="86">
        <f t="shared" si="59"/>
        <v>0.26</v>
      </c>
      <c r="D488" s="86">
        <f t="shared" si="59"/>
        <v>0.27900000000000003</v>
      </c>
      <c r="E488" s="86">
        <f t="shared" si="59"/>
        <v>6.0999999999999999E-2</v>
      </c>
      <c r="F488" s="86">
        <f t="shared" si="59"/>
        <v>2.5999999999999999E-2</v>
      </c>
      <c r="G488" s="87">
        <v>0.26</v>
      </c>
      <c r="H488" s="87">
        <v>0.27900000000000003</v>
      </c>
      <c r="I488" s="87">
        <v>6.0999999999999999E-2</v>
      </c>
      <c r="J488" s="87">
        <v>2.5999999999999999E-2</v>
      </c>
      <c r="K488" s="25">
        <f>((6/3)*L482)+((6/3)*L494)</f>
        <v>52918</v>
      </c>
      <c r="L488" s="95"/>
      <c r="M488" s="82">
        <f t="shared" si="52"/>
        <v>0.6</v>
      </c>
      <c r="N488" s="82">
        <v>0.26</v>
      </c>
      <c r="O488" s="82">
        <f t="shared" si="53"/>
        <v>0.61</v>
      </c>
      <c r="P488" s="82">
        <v>0.34620000000000001</v>
      </c>
      <c r="Q488" s="82">
        <v>0.69640000000000002</v>
      </c>
      <c r="R488" s="82">
        <v>0.6</v>
      </c>
      <c r="S488" s="82">
        <v>0.61</v>
      </c>
    </row>
    <row r="489" spans="1:19">
      <c r="A489" s="19">
        <f t="shared" si="56"/>
        <v>52321</v>
      </c>
      <c r="B489" s="19">
        <f t="shared" si="55"/>
        <v>52686</v>
      </c>
      <c r="C489" s="86">
        <f t="shared" si="59"/>
        <v>0.26</v>
      </c>
      <c r="D489" s="86">
        <f t="shared" si="59"/>
        <v>0.27900000000000003</v>
      </c>
      <c r="E489" s="86">
        <f t="shared" si="59"/>
        <v>6.0999999999999999E-2</v>
      </c>
      <c r="F489" s="86">
        <f t="shared" si="59"/>
        <v>2.5999999999999999E-2</v>
      </c>
      <c r="G489" s="87">
        <v>0.26</v>
      </c>
      <c r="H489" s="87">
        <v>0.27900000000000003</v>
      </c>
      <c r="I489" s="87">
        <v>6.0999999999999999E-2</v>
      </c>
      <c r="J489" s="87">
        <v>2.5999999999999999E-2</v>
      </c>
      <c r="K489" s="25">
        <f>((5/3)*L482)+((7/3)*L494)</f>
        <v>53133</v>
      </c>
      <c r="L489" s="95"/>
      <c r="M489" s="82">
        <f t="shared" si="52"/>
        <v>0.6</v>
      </c>
      <c r="N489" s="82">
        <v>0.26</v>
      </c>
      <c r="O489" s="82">
        <f t="shared" si="53"/>
        <v>0.61</v>
      </c>
      <c r="P489" s="82">
        <v>0.34620000000000001</v>
      </c>
      <c r="Q489" s="82">
        <v>0.69640000000000002</v>
      </c>
      <c r="R489" s="82">
        <v>0.6</v>
      </c>
      <c r="S489" s="82">
        <v>0.61</v>
      </c>
    </row>
    <row r="490" spans="1:19">
      <c r="A490" s="19">
        <f t="shared" si="56"/>
        <v>52351</v>
      </c>
      <c r="B490" s="19">
        <f t="shared" si="55"/>
        <v>52716</v>
      </c>
      <c r="C490" s="86">
        <f t="shared" si="59"/>
        <v>0.26</v>
      </c>
      <c r="D490" s="86">
        <f t="shared" si="59"/>
        <v>0.27900000000000003</v>
      </c>
      <c r="E490" s="86">
        <f t="shared" si="59"/>
        <v>6.0999999999999999E-2</v>
      </c>
      <c r="F490" s="86">
        <f t="shared" si="59"/>
        <v>2.5999999999999999E-2</v>
      </c>
      <c r="G490" s="87">
        <v>0.26</v>
      </c>
      <c r="H490" s="87">
        <v>0.27900000000000003</v>
      </c>
      <c r="I490" s="87">
        <v>6.0999999999999999E-2</v>
      </c>
      <c r="J490" s="87">
        <v>2.5999999999999999E-2</v>
      </c>
      <c r="K490" s="25">
        <f>((4/3)*L482)+((8/3)*L494)</f>
        <v>53348</v>
      </c>
      <c r="L490" s="95"/>
      <c r="M490" s="82">
        <f t="shared" si="52"/>
        <v>0.6</v>
      </c>
      <c r="N490" s="82">
        <v>0.26</v>
      </c>
      <c r="O490" s="82">
        <f t="shared" si="53"/>
        <v>0.61</v>
      </c>
      <c r="P490" s="82">
        <v>0.34620000000000001</v>
      </c>
      <c r="Q490" s="82">
        <v>0.69640000000000002</v>
      </c>
      <c r="R490" s="82">
        <v>0.6</v>
      </c>
      <c r="S490" s="82">
        <v>0.61</v>
      </c>
    </row>
    <row r="491" spans="1:19">
      <c r="A491" s="19">
        <f t="shared" si="56"/>
        <v>52382</v>
      </c>
      <c r="B491" s="19">
        <f t="shared" si="55"/>
        <v>52747</v>
      </c>
      <c r="C491" s="86">
        <f t="shared" si="59"/>
        <v>0.26</v>
      </c>
      <c r="D491" s="86">
        <f t="shared" si="59"/>
        <v>0.27900000000000003</v>
      </c>
      <c r="E491" s="86">
        <f t="shared" si="59"/>
        <v>6.0999999999999999E-2</v>
      </c>
      <c r="F491" s="86">
        <f t="shared" si="59"/>
        <v>2.5999999999999999E-2</v>
      </c>
      <c r="G491" s="87">
        <v>0.26</v>
      </c>
      <c r="H491" s="87">
        <v>0.27900000000000003</v>
      </c>
      <c r="I491" s="87">
        <v>6.0999999999999999E-2</v>
      </c>
      <c r="J491" s="87">
        <v>2.5999999999999999E-2</v>
      </c>
      <c r="K491" s="25">
        <f>((3/3)*L482)+((9/3)*L494)</f>
        <v>53563</v>
      </c>
      <c r="L491" s="95"/>
      <c r="M491" s="82">
        <f t="shared" si="52"/>
        <v>0.6</v>
      </c>
      <c r="N491" s="82">
        <v>0.26</v>
      </c>
      <c r="O491" s="82">
        <f t="shared" si="53"/>
        <v>0.61</v>
      </c>
      <c r="P491" s="82">
        <v>0.34620000000000001</v>
      </c>
      <c r="Q491" s="82">
        <v>0.69640000000000002</v>
      </c>
      <c r="R491" s="82">
        <v>0.6</v>
      </c>
      <c r="S491" s="82">
        <v>0.61</v>
      </c>
    </row>
    <row r="492" spans="1:19">
      <c r="A492" s="19">
        <f t="shared" si="56"/>
        <v>52412</v>
      </c>
      <c r="B492" s="19">
        <f t="shared" si="55"/>
        <v>52777</v>
      </c>
      <c r="C492" s="86">
        <f t="shared" si="59"/>
        <v>0.26</v>
      </c>
      <c r="D492" s="86">
        <f t="shared" si="59"/>
        <v>0.27900000000000003</v>
      </c>
      <c r="E492" s="86">
        <f t="shared" si="59"/>
        <v>6.0999999999999999E-2</v>
      </c>
      <c r="F492" s="86">
        <f t="shared" si="59"/>
        <v>2.5999999999999999E-2</v>
      </c>
      <c r="G492" s="87">
        <v>0.26</v>
      </c>
      <c r="H492" s="87">
        <v>0.27900000000000003</v>
      </c>
      <c r="I492" s="87">
        <v>6.0999999999999999E-2</v>
      </c>
      <c r="J492" s="87">
        <v>2.5999999999999999E-2</v>
      </c>
      <c r="K492" s="25">
        <f>((2/3)*L482)+((10/3)*L494)</f>
        <v>53778</v>
      </c>
      <c r="L492" s="95"/>
      <c r="M492" s="82">
        <f t="shared" si="52"/>
        <v>0.6</v>
      </c>
      <c r="N492" s="82">
        <v>0.26</v>
      </c>
      <c r="O492" s="82">
        <f t="shared" si="53"/>
        <v>0.61</v>
      </c>
      <c r="P492" s="82">
        <v>0.34620000000000001</v>
      </c>
      <c r="Q492" s="82">
        <v>0.69640000000000002</v>
      </c>
      <c r="R492" s="82">
        <v>0.6</v>
      </c>
      <c r="S492" s="82">
        <v>0.61</v>
      </c>
    </row>
    <row r="493" spans="1:19">
      <c r="A493" s="19">
        <f t="shared" si="56"/>
        <v>52443</v>
      </c>
      <c r="B493" s="19">
        <f t="shared" si="55"/>
        <v>52808</v>
      </c>
      <c r="C493" s="83">
        <f t="shared" si="59"/>
        <v>0.26</v>
      </c>
      <c r="D493" s="83">
        <f t="shared" si="59"/>
        <v>0.27900000000000003</v>
      </c>
      <c r="E493" s="83">
        <f t="shared" si="59"/>
        <v>6.0999999999999999E-2</v>
      </c>
      <c r="F493" s="83">
        <f t="shared" si="59"/>
        <v>2.5999999999999999E-2</v>
      </c>
      <c r="G493" s="87">
        <v>0.26</v>
      </c>
      <c r="H493" s="87">
        <v>0.27900000000000003</v>
      </c>
      <c r="I493" s="87">
        <v>6.0999999999999999E-2</v>
      </c>
      <c r="J493" s="87">
        <v>2.5999999999999999E-2</v>
      </c>
      <c r="K493" s="25">
        <f>((1/3)*L482)+((11/3)*L494)</f>
        <v>53993</v>
      </c>
      <c r="L493" s="95"/>
      <c r="M493" s="82">
        <f t="shared" si="52"/>
        <v>0.6</v>
      </c>
      <c r="N493" s="82">
        <v>0.26</v>
      </c>
      <c r="O493" s="82">
        <f t="shared" si="53"/>
        <v>0.61</v>
      </c>
      <c r="P493" s="82">
        <v>0.34620000000000001</v>
      </c>
      <c r="Q493" s="82">
        <v>0.69640000000000002</v>
      </c>
      <c r="R493" s="82">
        <v>0.6</v>
      </c>
      <c r="S493" s="82">
        <v>0.61</v>
      </c>
    </row>
    <row r="494" spans="1:19" s="80" customFormat="1">
      <c r="A494" s="79">
        <f t="shared" si="56"/>
        <v>52474</v>
      </c>
      <c r="B494" s="79">
        <f t="shared" si="55"/>
        <v>52839</v>
      </c>
      <c r="C494" s="88">
        <f t="shared" si="59"/>
        <v>0.26</v>
      </c>
      <c r="D494" s="88">
        <f t="shared" si="59"/>
        <v>0.27900000000000003</v>
      </c>
      <c r="E494" s="88">
        <f t="shared" si="59"/>
        <v>6.0999999999999999E-2</v>
      </c>
      <c r="F494" s="88">
        <f t="shared" si="59"/>
        <v>2.5999999999999999E-2</v>
      </c>
      <c r="G494" s="89">
        <v>0.26</v>
      </c>
      <c r="H494" s="89">
        <v>0.27900000000000003</v>
      </c>
      <c r="I494" s="89">
        <v>6.0999999999999999E-2</v>
      </c>
      <c r="J494" s="89">
        <v>2.5999999999999999E-2</v>
      </c>
      <c r="K494" s="78">
        <f>(L494*4)</f>
        <v>54209</v>
      </c>
      <c r="L494" s="96">
        <f>L482*1.05</f>
        <v>13552.15</v>
      </c>
      <c r="M494" s="355">
        <f t="shared" si="52"/>
        <v>0.6</v>
      </c>
      <c r="N494" s="355">
        <v>0.26</v>
      </c>
      <c r="O494" s="355">
        <f t="shared" si="53"/>
        <v>0.61</v>
      </c>
      <c r="P494" s="355">
        <v>0.34620000000000001</v>
      </c>
      <c r="Q494" s="355">
        <v>0.69640000000000002</v>
      </c>
      <c r="R494" s="355">
        <v>0.6</v>
      </c>
      <c r="S494" s="355">
        <v>0.61</v>
      </c>
    </row>
    <row r="495" spans="1:19" s="80" customFormat="1">
      <c r="A495" s="79">
        <f t="shared" si="56"/>
        <v>52504</v>
      </c>
      <c r="B495" s="79">
        <f t="shared" si="55"/>
        <v>52869</v>
      </c>
      <c r="C495" s="88">
        <f t="shared" si="59"/>
        <v>0.26</v>
      </c>
      <c r="D495" s="88">
        <f t="shared" si="59"/>
        <v>0.27900000000000003</v>
      </c>
      <c r="E495" s="88">
        <f t="shared" si="59"/>
        <v>6.0999999999999999E-2</v>
      </c>
      <c r="F495" s="88">
        <f t="shared" si="59"/>
        <v>2.5999999999999999E-2</v>
      </c>
      <c r="G495" s="89">
        <v>0.26</v>
      </c>
      <c r="H495" s="89">
        <v>0.27900000000000003</v>
      </c>
      <c r="I495" s="89">
        <v>6.0999999999999999E-2</v>
      </c>
      <c r="J495" s="89">
        <v>2.5999999999999999E-2</v>
      </c>
      <c r="K495" s="78">
        <f>((11/3)*L494)+((1/3)*L506)</f>
        <v>54434</v>
      </c>
      <c r="L495" s="96"/>
      <c r="M495" s="355">
        <f t="shared" ref="M495:M558" si="60">AVERAGE(R495:R506)</f>
        <v>0.6</v>
      </c>
      <c r="N495" s="355">
        <v>0.26</v>
      </c>
      <c r="O495" s="355">
        <f t="shared" ref="O495:O558" si="61">AVERAGE(S495:S506)</f>
        <v>0.61</v>
      </c>
      <c r="P495" s="355">
        <v>0.34620000000000001</v>
      </c>
      <c r="Q495" s="355">
        <v>0.69640000000000002</v>
      </c>
      <c r="R495" s="355">
        <v>0.6</v>
      </c>
      <c r="S495" s="355">
        <v>0.61</v>
      </c>
    </row>
    <row r="496" spans="1:19" s="80" customFormat="1">
      <c r="A496" s="79">
        <f t="shared" si="56"/>
        <v>52535</v>
      </c>
      <c r="B496" s="79">
        <f t="shared" si="55"/>
        <v>52900</v>
      </c>
      <c r="C496" s="88">
        <f t="shared" si="59"/>
        <v>0.26</v>
      </c>
      <c r="D496" s="88">
        <f t="shared" si="59"/>
        <v>0.27900000000000003</v>
      </c>
      <c r="E496" s="88">
        <f t="shared" si="59"/>
        <v>6.0999999999999999E-2</v>
      </c>
      <c r="F496" s="88">
        <f t="shared" si="59"/>
        <v>2.5999999999999999E-2</v>
      </c>
      <c r="G496" s="89">
        <v>0.26</v>
      </c>
      <c r="H496" s="89">
        <v>0.27900000000000003</v>
      </c>
      <c r="I496" s="89">
        <v>6.0999999999999999E-2</v>
      </c>
      <c r="J496" s="89">
        <v>2.5999999999999999E-2</v>
      </c>
      <c r="K496" s="78">
        <f>((10/3)*L494)+((2/3)*L506)</f>
        <v>54660</v>
      </c>
      <c r="L496" s="96"/>
      <c r="M496" s="355">
        <f t="shared" si="60"/>
        <v>0.6</v>
      </c>
      <c r="N496" s="355">
        <v>0.26</v>
      </c>
      <c r="O496" s="355">
        <f t="shared" si="61"/>
        <v>0.61</v>
      </c>
      <c r="P496" s="355">
        <v>0.34620000000000001</v>
      </c>
      <c r="Q496" s="355">
        <v>0.69640000000000002</v>
      </c>
      <c r="R496" s="355">
        <v>0.6</v>
      </c>
      <c r="S496" s="355">
        <v>0.61</v>
      </c>
    </row>
    <row r="497" spans="1:19" s="80" customFormat="1">
      <c r="A497" s="79">
        <f t="shared" si="56"/>
        <v>52565</v>
      </c>
      <c r="B497" s="79">
        <f t="shared" si="55"/>
        <v>52930</v>
      </c>
      <c r="C497" s="88">
        <f t="shared" si="59"/>
        <v>0.26</v>
      </c>
      <c r="D497" s="88">
        <f t="shared" si="59"/>
        <v>0.27900000000000003</v>
      </c>
      <c r="E497" s="88">
        <f t="shared" si="59"/>
        <v>6.0999999999999999E-2</v>
      </c>
      <c r="F497" s="88">
        <f t="shared" si="59"/>
        <v>2.5999999999999999E-2</v>
      </c>
      <c r="G497" s="89">
        <v>0.26</v>
      </c>
      <c r="H497" s="89">
        <v>0.27900000000000003</v>
      </c>
      <c r="I497" s="89">
        <v>6.0999999999999999E-2</v>
      </c>
      <c r="J497" s="89">
        <v>2.5999999999999999E-2</v>
      </c>
      <c r="K497" s="78">
        <f>((9/3)*L494)+((3/3)*L506)</f>
        <v>54886</v>
      </c>
      <c r="L497" s="96"/>
      <c r="M497" s="355">
        <f t="shared" si="60"/>
        <v>0.6</v>
      </c>
      <c r="N497" s="355">
        <v>0.26</v>
      </c>
      <c r="O497" s="355">
        <f t="shared" si="61"/>
        <v>0.61</v>
      </c>
      <c r="P497" s="355">
        <v>0.34620000000000001</v>
      </c>
      <c r="Q497" s="355">
        <v>0.69640000000000002</v>
      </c>
      <c r="R497" s="355">
        <v>0.6</v>
      </c>
      <c r="S497" s="355">
        <v>0.61</v>
      </c>
    </row>
    <row r="498" spans="1:19" s="80" customFormat="1">
      <c r="A498" s="79">
        <f t="shared" si="56"/>
        <v>52596</v>
      </c>
      <c r="B498" s="79">
        <f t="shared" si="55"/>
        <v>52961</v>
      </c>
      <c r="C498" s="88">
        <f t="shared" si="59"/>
        <v>0.26</v>
      </c>
      <c r="D498" s="88">
        <f t="shared" si="59"/>
        <v>0.27900000000000003</v>
      </c>
      <c r="E498" s="88">
        <f t="shared" si="59"/>
        <v>6.0999999999999999E-2</v>
      </c>
      <c r="F498" s="88">
        <f t="shared" si="59"/>
        <v>2.5999999999999999E-2</v>
      </c>
      <c r="G498" s="89">
        <v>0.26</v>
      </c>
      <c r="H498" s="89">
        <v>0.27900000000000003</v>
      </c>
      <c r="I498" s="89">
        <v>6.0999999999999999E-2</v>
      </c>
      <c r="J498" s="89">
        <v>2.5999999999999999E-2</v>
      </c>
      <c r="K498" s="78">
        <f>((8/3)*L494)+((4/3)*L506)</f>
        <v>55112</v>
      </c>
      <c r="L498" s="96"/>
      <c r="M498" s="355">
        <f t="shared" si="60"/>
        <v>0.6</v>
      </c>
      <c r="N498" s="355">
        <v>0.26</v>
      </c>
      <c r="O498" s="355">
        <f t="shared" si="61"/>
        <v>0.61</v>
      </c>
      <c r="P498" s="355">
        <v>0.34620000000000001</v>
      </c>
      <c r="Q498" s="355">
        <v>0.69640000000000002</v>
      </c>
      <c r="R498" s="355">
        <v>0.6</v>
      </c>
      <c r="S498" s="355">
        <v>0.61</v>
      </c>
    </row>
    <row r="499" spans="1:19" s="80" customFormat="1">
      <c r="A499" s="79">
        <f t="shared" si="56"/>
        <v>52627</v>
      </c>
      <c r="B499" s="79">
        <f t="shared" si="55"/>
        <v>52992</v>
      </c>
      <c r="C499" s="88">
        <f t="shared" ref="C499:F514" si="62">AVERAGE(G499:G510)</f>
        <v>0.26</v>
      </c>
      <c r="D499" s="88">
        <f t="shared" si="62"/>
        <v>0.27900000000000003</v>
      </c>
      <c r="E499" s="88">
        <f t="shared" si="62"/>
        <v>6.0999999999999999E-2</v>
      </c>
      <c r="F499" s="88">
        <f t="shared" si="62"/>
        <v>2.5999999999999999E-2</v>
      </c>
      <c r="G499" s="89">
        <v>0.26</v>
      </c>
      <c r="H499" s="89">
        <v>0.27900000000000003</v>
      </c>
      <c r="I499" s="89">
        <v>6.0999999999999999E-2</v>
      </c>
      <c r="J499" s="89">
        <v>2.5999999999999999E-2</v>
      </c>
      <c r="K499" s="78">
        <f>((7/3)*L494)+((5/3)*L506)</f>
        <v>55338</v>
      </c>
      <c r="L499" s="96"/>
      <c r="M499" s="355">
        <f t="shared" si="60"/>
        <v>0.6</v>
      </c>
      <c r="N499" s="355">
        <v>0.26</v>
      </c>
      <c r="O499" s="355">
        <f t="shared" si="61"/>
        <v>0.61</v>
      </c>
      <c r="P499" s="355">
        <v>0.34620000000000001</v>
      </c>
      <c r="Q499" s="355">
        <v>0.69640000000000002</v>
      </c>
      <c r="R499" s="355">
        <v>0.6</v>
      </c>
      <c r="S499" s="355">
        <v>0.61</v>
      </c>
    </row>
    <row r="500" spans="1:19" s="80" customFormat="1">
      <c r="A500" s="79">
        <f t="shared" si="56"/>
        <v>52656</v>
      </c>
      <c r="B500" s="79">
        <f t="shared" si="55"/>
        <v>53020</v>
      </c>
      <c r="C500" s="88">
        <f t="shared" si="62"/>
        <v>0.26</v>
      </c>
      <c r="D500" s="88">
        <f t="shared" si="62"/>
        <v>0.27900000000000003</v>
      </c>
      <c r="E500" s="88">
        <f t="shared" si="62"/>
        <v>6.0999999999999999E-2</v>
      </c>
      <c r="F500" s="88">
        <f t="shared" si="62"/>
        <v>2.5999999999999999E-2</v>
      </c>
      <c r="G500" s="89">
        <v>0.26</v>
      </c>
      <c r="H500" s="89">
        <v>0.27900000000000003</v>
      </c>
      <c r="I500" s="89">
        <v>6.0999999999999999E-2</v>
      </c>
      <c r="J500" s="89">
        <v>2.5999999999999999E-2</v>
      </c>
      <c r="K500" s="78">
        <f>((6/3)*L494)+((6/3)*L506)</f>
        <v>55564</v>
      </c>
      <c r="L500" s="96"/>
      <c r="M500" s="355">
        <f t="shared" si="60"/>
        <v>0.6</v>
      </c>
      <c r="N500" s="355">
        <v>0.26</v>
      </c>
      <c r="O500" s="355">
        <f t="shared" si="61"/>
        <v>0.61</v>
      </c>
      <c r="P500" s="355">
        <v>0.34620000000000001</v>
      </c>
      <c r="Q500" s="355">
        <v>0.69640000000000002</v>
      </c>
      <c r="R500" s="355">
        <v>0.6</v>
      </c>
      <c r="S500" s="355">
        <v>0.61</v>
      </c>
    </row>
    <row r="501" spans="1:19" s="80" customFormat="1">
      <c r="A501" s="79">
        <f t="shared" si="56"/>
        <v>52687</v>
      </c>
      <c r="B501" s="79">
        <f t="shared" si="55"/>
        <v>53051</v>
      </c>
      <c r="C501" s="88">
        <f t="shared" si="62"/>
        <v>0.26</v>
      </c>
      <c r="D501" s="88">
        <f t="shared" si="62"/>
        <v>0.27900000000000003</v>
      </c>
      <c r="E501" s="88">
        <f t="shared" si="62"/>
        <v>6.0999999999999999E-2</v>
      </c>
      <c r="F501" s="88">
        <f t="shared" si="62"/>
        <v>2.5999999999999999E-2</v>
      </c>
      <c r="G501" s="89">
        <v>0.26</v>
      </c>
      <c r="H501" s="89">
        <v>0.27900000000000003</v>
      </c>
      <c r="I501" s="89">
        <v>6.0999999999999999E-2</v>
      </c>
      <c r="J501" s="89">
        <v>2.5999999999999999E-2</v>
      </c>
      <c r="K501" s="78">
        <f>((5/3)*L494)+((7/3)*L506)</f>
        <v>55790</v>
      </c>
      <c r="L501" s="96"/>
      <c r="M501" s="355">
        <f t="shared" si="60"/>
        <v>0.6</v>
      </c>
      <c r="N501" s="355">
        <v>0.26</v>
      </c>
      <c r="O501" s="355">
        <f t="shared" si="61"/>
        <v>0.61</v>
      </c>
      <c r="P501" s="355">
        <v>0.34620000000000001</v>
      </c>
      <c r="Q501" s="355">
        <v>0.69640000000000002</v>
      </c>
      <c r="R501" s="355">
        <v>0.6</v>
      </c>
      <c r="S501" s="355">
        <v>0.61</v>
      </c>
    </row>
    <row r="502" spans="1:19" s="80" customFormat="1">
      <c r="A502" s="79">
        <f t="shared" si="56"/>
        <v>52717</v>
      </c>
      <c r="B502" s="79">
        <f t="shared" si="55"/>
        <v>53081</v>
      </c>
      <c r="C502" s="88">
        <f t="shared" si="62"/>
        <v>0.26</v>
      </c>
      <c r="D502" s="88">
        <f t="shared" si="62"/>
        <v>0.27900000000000003</v>
      </c>
      <c r="E502" s="88">
        <f t="shared" si="62"/>
        <v>6.0999999999999999E-2</v>
      </c>
      <c r="F502" s="88">
        <f t="shared" si="62"/>
        <v>2.5999999999999999E-2</v>
      </c>
      <c r="G502" s="89">
        <v>0.26</v>
      </c>
      <c r="H502" s="89">
        <v>0.27900000000000003</v>
      </c>
      <c r="I502" s="89">
        <v>6.0999999999999999E-2</v>
      </c>
      <c r="J502" s="89">
        <v>2.5999999999999999E-2</v>
      </c>
      <c r="K502" s="78">
        <f>((4/3)*L494)+((8/3)*L506)</f>
        <v>56016</v>
      </c>
      <c r="L502" s="96"/>
      <c r="M502" s="355">
        <f t="shared" si="60"/>
        <v>0.6</v>
      </c>
      <c r="N502" s="355">
        <v>0.26</v>
      </c>
      <c r="O502" s="355">
        <f t="shared" si="61"/>
        <v>0.61</v>
      </c>
      <c r="P502" s="355">
        <v>0.34620000000000001</v>
      </c>
      <c r="Q502" s="355">
        <v>0.69640000000000002</v>
      </c>
      <c r="R502" s="355">
        <v>0.6</v>
      </c>
      <c r="S502" s="355">
        <v>0.61</v>
      </c>
    </row>
    <row r="503" spans="1:19" s="80" customFormat="1">
      <c r="A503" s="79">
        <f t="shared" si="56"/>
        <v>52748</v>
      </c>
      <c r="B503" s="79">
        <f t="shared" si="55"/>
        <v>53112</v>
      </c>
      <c r="C503" s="88">
        <f t="shared" si="62"/>
        <v>0.26</v>
      </c>
      <c r="D503" s="88">
        <f t="shared" si="62"/>
        <v>0.27900000000000003</v>
      </c>
      <c r="E503" s="88">
        <f t="shared" si="62"/>
        <v>6.0999999999999999E-2</v>
      </c>
      <c r="F503" s="88">
        <f t="shared" si="62"/>
        <v>2.5999999999999999E-2</v>
      </c>
      <c r="G503" s="89">
        <v>0.26</v>
      </c>
      <c r="H503" s="89">
        <v>0.27900000000000003</v>
      </c>
      <c r="I503" s="89">
        <v>6.0999999999999999E-2</v>
      </c>
      <c r="J503" s="89">
        <v>2.5999999999999999E-2</v>
      </c>
      <c r="K503" s="78">
        <f>((3/3)*L494)+((9/3)*L506)</f>
        <v>56241</v>
      </c>
      <c r="L503" s="96"/>
      <c r="M503" s="355">
        <f t="shared" si="60"/>
        <v>0.6</v>
      </c>
      <c r="N503" s="355">
        <v>0.26</v>
      </c>
      <c r="O503" s="355">
        <f t="shared" si="61"/>
        <v>0.61</v>
      </c>
      <c r="P503" s="355">
        <v>0.34620000000000001</v>
      </c>
      <c r="Q503" s="355">
        <v>0.69640000000000002</v>
      </c>
      <c r="R503" s="355">
        <v>0.6</v>
      </c>
      <c r="S503" s="355">
        <v>0.61</v>
      </c>
    </row>
    <row r="504" spans="1:19" s="80" customFormat="1">
      <c r="A504" s="79">
        <f t="shared" si="56"/>
        <v>52778</v>
      </c>
      <c r="B504" s="79">
        <f t="shared" si="55"/>
        <v>53142</v>
      </c>
      <c r="C504" s="88">
        <f t="shared" si="62"/>
        <v>0.26</v>
      </c>
      <c r="D504" s="88">
        <f t="shared" si="62"/>
        <v>0.27900000000000003</v>
      </c>
      <c r="E504" s="88">
        <f t="shared" si="62"/>
        <v>6.0999999999999999E-2</v>
      </c>
      <c r="F504" s="88">
        <f t="shared" si="62"/>
        <v>2.5999999999999999E-2</v>
      </c>
      <c r="G504" s="89">
        <v>0.26</v>
      </c>
      <c r="H504" s="89">
        <v>0.27900000000000003</v>
      </c>
      <c r="I504" s="89">
        <v>6.0999999999999999E-2</v>
      </c>
      <c r="J504" s="89">
        <v>2.5999999999999999E-2</v>
      </c>
      <c r="K504" s="78">
        <f>((2/3)*L494)+((10/3)*L506)</f>
        <v>56467</v>
      </c>
      <c r="L504" s="96"/>
      <c r="M504" s="355">
        <f t="shared" si="60"/>
        <v>0.6</v>
      </c>
      <c r="N504" s="355">
        <v>0.26</v>
      </c>
      <c r="O504" s="355">
        <f t="shared" si="61"/>
        <v>0.61</v>
      </c>
      <c r="P504" s="355">
        <v>0.34620000000000001</v>
      </c>
      <c r="Q504" s="355">
        <v>0.69640000000000002</v>
      </c>
      <c r="R504" s="355">
        <v>0.6</v>
      </c>
      <c r="S504" s="355">
        <v>0.61</v>
      </c>
    </row>
    <row r="505" spans="1:19" s="80" customFormat="1">
      <c r="A505" s="79">
        <f t="shared" si="56"/>
        <v>52809</v>
      </c>
      <c r="B505" s="79">
        <f t="shared" si="55"/>
        <v>53173</v>
      </c>
      <c r="C505" s="88">
        <f t="shared" si="62"/>
        <v>0.26</v>
      </c>
      <c r="D505" s="88">
        <f t="shared" si="62"/>
        <v>0.27900000000000003</v>
      </c>
      <c r="E505" s="88">
        <f t="shared" si="62"/>
        <v>6.0999999999999999E-2</v>
      </c>
      <c r="F505" s="88">
        <f t="shared" si="62"/>
        <v>2.5999999999999999E-2</v>
      </c>
      <c r="G505" s="89">
        <v>0.26</v>
      </c>
      <c r="H505" s="89">
        <v>0.27900000000000003</v>
      </c>
      <c r="I505" s="89">
        <v>6.0999999999999999E-2</v>
      </c>
      <c r="J505" s="89">
        <v>2.5999999999999999E-2</v>
      </c>
      <c r="K505" s="78">
        <f>((1/3)*L494)+((11/3)*L506)</f>
        <v>56693</v>
      </c>
      <c r="L505" s="96"/>
      <c r="M505" s="355">
        <f t="shared" si="60"/>
        <v>0.6</v>
      </c>
      <c r="N505" s="355">
        <v>0.26</v>
      </c>
      <c r="O505" s="355">
        <f t="shared" si="61"/>
        <v>0.61</v>
      </c>
      <c r="P505" s="355">
        <v>0.34620000000000001</v>
      </c>
      <c r="Q505" s="355">
        <v>0.69640000000000002</v>
      </c>
      <c r="R505" s="355">
        <v>0.6</v>
      </c>
      <c r="S505" s="355">
        <v>0.61</v>
      </c>
    </row>
    <row r="506" spans="1:19">
      <c r="A506" s="19">
        <f t="shared" si="56"/>
        <v>52840</v>
      </c>
      <c r="B506" s="19">
        <f t="shared" si="55"/>
        <v>53204</v>
      </c>
      <c r="C506" s="86">
        <f t="shared" si="62"/>
        <v>0.26</v>
      </c>
      <c r="D506" s="86">
        <f t="shared" si="62"/>
        <v>0.27900000000000003</v>
      </c>
      <c r="E506" s="86">
        <f t="shared" si="62"/>
        <v>6.0999999999999999E-2</v>
      </c>
      <c r="F506" s="86">
        <f t="shared" si="62"/>
        <v>2.5999999999999999E-2</v>
      </c>
      <c r="G506" s="87">
        <v>0.26</v>
      </c>
      <c r="H506" s="87">
        <v>0.27900000000000003</v>
      </c>
      <c r="I506" s="87">
        <v>6.0999999999999999E-2</v>
      </c>
      <c r="J506" s="87">
        <v>2.5999999999999999E-2</v>
      </c>
      <c r="K506" s="25">
        <f>(L506*4)</f>
        <v>56919</v>
      </c>
      <c r="L506" s="95">
        <f>L494*1.05</f>
        <v>14229.76</v>
      </c>
      <c r="M506" s="82">
        <f t="shared" si="60"/>
        <v>0.6</v>
      </c>
      <c r="N506" s="82">
        <v>0.26</v>
      </c>
      <c r="O506" s="82">
        <f t="shared" si="61"/>
        <v>0.61</v>
      </c>
      <c r="P506" s="82">
        <v>0.34620000000000001</v>
      </c>
      <c r="Q506" s="82">
        <v>0.69640000000000002</v>
      </c>
      <c r="R506" s="82">
        <v>0.6</v>
      </c>
      <c r="S506" s="82">
        <v>0.61</v>
      </c>
    </row>
    <row r="507" spans="1:19">
      <c r="A507" s="19">
        <f t="shared" si="56"/>
        <v>52870</v>
      </c>
      <c r="B507" s="19">
        <f t="shared" si="55"/>
        <v>53234</v>
      </c>
      <c r="C507" s="86">
        <f t="shared" si="62"/>
        <v>0.26</v>
      </c>
      <c r="D507" s="86">
        <f t="shared" si="62"/>
        <v>0.27900000000000003</v>
      </c>
      <c r="E507" s="86">
        <f t="shared" si="62"/>
        <v>6.0999999999999999E-2</v>
      </c>
      <c r="F507" s="86">
        <f t="shared" si="62"/>
        <v>2.5999999999999999E-2</v>
      </c>
      <c r="G507" s="87">
        <v>0.26</v>
      </c>
      <c r="H507" s="87">
        <v>0.27900000000000003</v>
      </c>
      <c r="I507" s="87">
        <v>6.0999999999999999E-2</v>
      </c>
      <c r="J507" s="87">
        <v>2.5999999999999999E-2</v>
      </c>
      <c r="K507" s="25">
        <f>((11/3)*L506)+((1/3)*L518)</f>
        <v>57156</v>
      </c>
      <c r="L507" s="95"/>
      <c r="M507" s="82">
        <f t="shared" si="60"/>
        <v>0.6</v>
      </c>
      <c r="N507" s="82">
        <v>0.26</v>
      </c>
      <c r="O507" s="82">
        <f t="shared" si="61"/>
        <v>0.61</v>
      </c>
      <c r="P507" s="82">
        <v>0.34620000000000001</v>
      </c>
      <c r="Q507" s="82">
        <v>0.69640000000000002</v>
      </c>
      <c r="R507" s="82">
        <v>0.6</v>
      </c>
      <c r="S507" s="82">
        <v>0.61</v>
      </c>
    </row>
    <row r="508" spans="1:19">
      <c r="A508" s="19">
        <f t="shared" si="56"/>
        <v>52901</v>
      </c>
      <c r="B508" s="19">
        <f t="shared" si="55"/>
        <v>53265</v>
      </c>
      <c r="C508" s="86">
        <f t="shared" si="62"/>
        <v>0.26</v>
      </c>
      <c r="D508" s="86">
        <f t="shared" si="62"/>
        <v>0.27900000000000003</v>
      </c>
      <c r="E508" s="86">
        <f t="shared" si="62"/>
        <v>6.0999999999999999E-2</v>
      </c>
      <c r="F508" s="86">
        <f t="shared" si="62"/>
        <v>2.5999999999999999E-2</v>
      </c>
      <c r="G508" s="87">
        <v>0.26</v>
      </c>
      <c r="H508" s="87">
        <v>0.27900000000000003</v>
      </c>
      <c r="I508" s="87">
        <v>6.0999999999999999E-2</v>
      </c>
      <c r="J508" s="87">
        <v>2.5999999999999999E-2</v>
      </c>
      <c r="K508" s="25">
        <f>((10/3)*L506)+((2/3)*L518)</f>
        <v>57393</v>
      </c>
      <c r="L508" s="95"/>
      <c r="M508" s="82">
        <f t="shared" si="60"/>
        <v>0.6</v>
      </c>
      <c r="N508" s="82">
        <v>0.26</v>
      </c>
      <c r="O508" s="82">
        <f t="shared" si="61"/>
        <v>0.61</v>
      </c>
      <c r="P508" s="82">
        <v>0.34620000000000001</v>
      </c>
      <c r="Q508" s="82">
        <v>0.69640000000000002</v>
      </c>
      <c r="R508" s="82">
        <v>0.6</v>
      </c>
      <c r="S508" s="82">
        <v>0.61</v>
      </c>
    </row>
    <row r="509" spans="1:19">
      <c r="A509" s="19">
        <f t="shared" si="56"/>
        <v>52931</v>
      </c>
      <c r="B509" s="19">
        <f t="shared" si="55"/>
        <v>53295</v>
      </c>
      <c r="C509" s="86">
        <f t="shared" si="62"/>
        <v>0.26</v>
      </c>
      <c r="D509" s="86">
        <f t="shared" si="62"/>
        <v>0.27900000000000003</v>
      </c>
      <c r="E509" s="86">
        <f t="shared" si="62"/>
        <v>6.0999999999999999E-2</v>
      </c>
      <c r="F509" s="86">
        <f t="shared" si="62"/>
        <v>2.5999999999999999E-2</v>
      </c>
      <c r="G509" s="87">
        <v>0.26</v>
      </c>
      <c r="H509" s="87">
        <v>0.27900000000000003</v>
      </c>
      <c r="I509" s="87">
        <v>6.0999999999999999E-2</v>
      </c>
      <c r="J509" s="87">
        <v>2.5999999999999999E-2</v>
      </c>
      <c r="K509" s="25">
        <f>((9/3)*L506)+((3/3)*L518)</f>
        <v>57631</v>
      </c>
      <c r="L509" s="95"/>
      <c r="M509" s="82">
        <f t="shared" si="60"/>
        <v>0.6</v>
      </c>
      <c r="N509" s="82">
        <v>0.26</v>
      </c>
      <c r="O509" s="82">
        <f t="shared" si="61"/>
        <v>0.61</v>
      </c>
      <c r="P509" s="82">
        <v>0.34620000000000001</v>
      </c>
      <c r="Q509" s="82">
        <v>0.69640000000000002</v>
      </c>
      <c r="R509" s="82">
        <v>0.6</v>
      </c>
      <c r="S509" s="82">
        <v>0.61</v>
      </c>
    </row>
    <row r="510" spans="1:19">
      <c r="A510" s="19">
        <f t="shared" si="56"/>
        <v>52962</v>
      </c>
      <c r="B510" s="19">
        <f t="shared" si="55"/>
        <v>53326</v>
      </c>
      <c r="C510" s="86">
        <f t="shared" si="62"/>
        <v>0.26</v>
      </c>
      <c r="D510" s="86">
        <f t="shared" si="62"/>
        <v>0.27900000000000003</v>
      </c>
      <c r="E510" s="86">
        <f t="shared" si="62"/>
        <v>6.0999999999999999E-2</v>
      </c>
      <c r="F510" s="86">
        <f t="shared" si="62"/>
        <v>2.5999999999999999E-2</v>
      </c>
      <c r="G510" s="87">
        <v>0.26</v>
      </c>
      <c r="H510" s="87">
        <v>0.27900000000000003</v>
      </c>
      <c r="I510" s="87">
        <v>6.0999999999999999E-2</v>
      </c>
      <c r="J510" s="87">
        <v>2.5999999999999999E-2</v>
      </c>
      <c r="K510" s="25">
        <f>((8/3)*L506)+((4/3)*L518)</f>
        <v>57868</v>
      </c>
      <c r="L510" s="95"/>
      <c r="M510" s="82">
        <f t="shared" si="60"/>
        <v>0.6</v>
      </c>
      <c r="N510" s="82">
        <v>0.26</v>
      </c>
      <c r="O510" s="82">
        <f t="shared" si="61"/>
        <v>0.61</v>
      </c>
      <c r="P510" s="82">
        <v>0.34620000000000001</v>
      </c>
      <c r="Q510" s="82">
        <v>0.69640000000000002</v>
      </c>
      <c r="R510" s="82">
        <v>0.6</v>
      </c>
      <c r="S510" s="82">
        <v>0.61</v>
      </c>
    </row>
    <row r="511" spans="1:19">
      <c r="A511" s="19">
        <f t="shared" si="56"/>
        <v>52993</v>
      </c>
      <c r="B511" s="19">
        <f t="shared" si="55"/>
        <v>53357</v>
      </c>
      <c r="C511" s="86">
        <f t="shared" si="62"/>
        <v>0.26</v>
      </c>
      <c r="D511" s="86">
        <f t="shared" si="62"/>
        <v>0.27900000000000003</v>
      </c>
      <c r="E511" s="86">
        <f t="shared" si="62"/>
        <v>6.0999999999999999E-2</v>
      </c>
      <c r="F511" s="86">
        <f t="shared" si="62"/>
        <v>2.5999999999999999E-2</v>
      </c>
      <c r="G511" s="87">
        <v>0.26</v>
      </c>
      <c r="H511" s="87">
        <v>0.27900000000000003</v>
      </c>
      <c r="I511" s="87">
        <v>6.0999999999999999E-2</v>
      </c>
      <c r="J511" s="87">
        <v>2.5999999999999999E-2</v>
      </c>
      <c r="K511" s="25">
        <f>((7/3)*L506)+((5/3)*L518)</f>
        <v>58105</v>
      </c>
      <c r="L511" s="95"/>
      <c r="M511" s="82">
        <f t="shared" si="60"/>
        <v>0.6</v>
      </c>
      <c r="N511" s="82">
        <v>0.26</v>
      </c>
      <c r="O511" s="82">
        <f t="shared" si="61"/>
        <v>0.61</v>
      </c>
      <c r="P511" s="82">
        <v>0.34620000000000001</v>
      </c>
      <c r="Q511" s="82">
        <v>0.69640000000000002</v>
      </c>
      <c r="R511" s="82">
        <v>0.6</v>
      </c>
      <c r="S511" s="82">
        <v>0.61</v>
      </c>
    </row>
    <row r="512" spans="1:19">
      <c r="A512" s="19">
        <f t="shared" si="56"/>
        <v>53021</v>
      </c>
      <c r="B512" s="19">
        <f t="shared" si="55"/>
        <v>53385</v>
      </c>
      <c r="C512" s="86">
        <f t="shared" si="62"/>
        <v>0.26</v>
      </c>
      <c r="D512" s="86">
        <f t="shared" si="62"/>
        <v>0.27900000000000003</v>
      </c>
      <c r="E512" s="86">
        <f t="shared" si="62"/>
        <v>6.0999999999999999E-2</v>
      </c>
      <c r="F512" s="86">
        <f t="shared" si="62"/>
        <v>2.5999999999999999E-2</v>
      </c>
      <c r="G512" s="87">
        <v>0.26</v>
      </c>
      <c r="H512" s="87">
        <v>0.27900000000000003</v>
      </c>
      <c r="I512" s="87">
        <v>6.0999999999999999E-2</v>
      </c>
      <c r="J512" s="87">
        <v>2.5999999999999999E-2</v>
      </c>
      <c r="K512" s="25">
        <f>((6/3)*L506)+((6/3)*L518)</f>
        <v>58342</v>
      </c>
      <c r="L512" s="95"/>
      <c r="M512" s="82">
        <f t="shared" si="60"/>
        <v>0.6</v>
      </c>
      <c r="N512" s="82">
        <v>0.26</v>
      </c>
      <c r="O512" s="82">
        <f t="shared" si="61"/>
        <v>0.61</v>
      </c>
      <c r="P512" s="82">
        <v>0.34620000000000001</v>
      </c>
      <c r="Q512" s="82">
        <v>0.69640000000000002</v>
      </c>
      <c r="R512" s="82">
        <v>0.6</v>
      </c>
      <c r="S512" s="82">
        <v>0.61</v>
      </c>
    </row>
    <row r="513" spans="1:19">
      <c r="A513" s="19">
        <f t="shared" si="56"/>
        <v>53052</v>
      </c>
      <c r="B513" s="19">
        <f t="shared" si="55"/>
        <v>53416</v>
      </c>
      <c r="C513" s="86">
        <f t="shared" si="62"/>
        <v>0.26</v>
      </c>
      <c r="D513" s="86">
        <f t="shared" si="62"/>
        <v>0.27900000000000003</v>
      </c>
      <c r="E513" s="86">
        <f t="shared" si="62"/>
        <v>6.0999999999999999E-2</v>
      </c>
      <c r="F513" s="86">
        <f t="shared" si="62"/>
        <v>2.5999999999999999E-2</v>
      </c>
      <c r="G513" s="87">
        <v>0.26</v>
      </c>
      <c r="H513" s="87">
        <v>0.27900000000000003</v>
      </c>
      <c r="I513" s="87">
        <v>6.0999999999999999E-2</v>
      </c>
      <c r="J513" s="87">
        <v>2.5999999999999999E-2</v>
      </c>
      <c r="K513" s="25">
        <f>((5/3)*L506)+((7/3)*L518)</f>
        <v>58579</v>
      </c>
      <c r="L513" s="95"/>
      <c r="M513" s="82">
        <f t="shared" si="60"/>
        <v>0.6</v>
      </c>
      <c r="N513" s="82">
        <v>0.26</v>
      </c>
      <c r="O513" s="82">
        <f t="shared" si="61"/>
        <v>0.61</v>
      </c>
      <c r="P513" s="82">
        <v>0.34620000000000001</v>
      </c>
      <c r="Q513" s="82">
        <v>0.69640000000000002</v>
      </c>
      <c r="R513" s="82">
        <v>0.6</v>
      </c>
      <c r="S513" s="82">
        <v>0.61</v>
      </c>
    </row>
    <row r="514" spans="1:19">
      <c r="A514" s="19">
        <f t="shared" si="56"/>
        <v>53082</v>
      </c>
      <c r="B514" s="19">
        <f t="shared" ref="B514:B577" si="63">EDATE(A514,12)-1</f>
        <v>53446</v>
      </c>
      <c r="C514" s="86">
        <f t="shared" si="62"/>
        <v>0.26</v>
      </c>
      <c r="D514" s="86">
        <f t="shared" si="62"/>
        <v>0.27900000000000003</v>
      </c>
      <c r="E514" s="86">
        <f t="shared" si="62"/>
        <v>6.0999999999999999E-2</v>
      </c>
      <c r="F514" s="86">
        <f t="shared" si="62"/>
        <v>2.5999999999999999E-2</v>
      </c>
      <c r="G514" s="87">
        <v>0.26</v>
      </c>
      <c r="H514" s="87">
        <v>0.27900000000000003</v>
      </c>
      <c r="I514" s="87">
        <v>6.0999999999999999E-2</v>
      </c>
      <c r="J514" s="87">
        <v>2.5999999999999999E-2</v>
      </c>
      <c r="K514" s="25">
        <f>((4/3)*L506)+((8/3)*L518)</f>
        <v>58816</v>
      </c>
      <c r="L514" s="95"/>
      <c r="M514" s="82">
        <f t="shared" si="60"/>
        <v>0.6</v>
      </c>
      <c r="N514" s="82">
        <v>0.26</v>
      </c>
      <c r="O514" s="82">
        <f t="shared" si="61"/>
        <v>0.61</v>
      </c>
      <c r="P514" s="82">
        <v>0.34620000000000001</v>
      </c>
      <c r="Q514" s="82">
        <v>0.69640000000000002</v>
      </c>
      <c r="R514" s="82">
        <v>0.6</v>
      </c>
      <c r="S514" s="82">
        <v>0.61</v>
      </c>
    </row>
    <row r="515" spans="1:19">
      <c r="A515" s="19">
        <f t="shared" ref="A515:A578" si="64">EDATE(A514,1)</f>
        <v>53113</v>
      </c>
      <c r="B515" s="19">
        <f t="shared" si="63"/>
        <v>53477</v>
      </c>
      <c r="C515" s="86">
        <f t="shared" ref="C515:F530" si="65">AVERAGE(G515:G526)</f>
        <v>0.26</v>
      </c>
      <c r="D515" s="86">
        <f t="shared" si="65"/>
        <v>0.27900000000000003</v>
      </c>
      <c r="E515" s="86">
        <f t="shared" si="65"/>
        <v>6.0999999999999999E-2</v>
      </c>
      <c r="F515" s="86">
        <f t="shared" si="65"/>
        <v>2.5999999999999999E-2</v>
      </c>
      <c r="G515" s="87">
        <v>0.26</v>
      </c>
      <c r="H515" s="87">
        <v>0.27900000000000003</v>
      </c>
      <c r="I515" s="87">
        <v>6.0999999999999999E-2</v>
      </c>
      <c r="J515" s="87">
        <v>2.5999999999999999E-2</v>
      </c>
      <c r="K515" s="25">
        <f>((3/3)*L506)+((9/3)*L518)</f>
        <v>59054</v>
      </c>
      <c r="L515" s="95"/>
      <c r="M515" s="82">
        <f t="shared" si="60"/>
        <v>0.6</v>
      </c>
      <c r="N515" s="82">
        <v>0.26</v>
      </c>
      <c r="O515" s="82">
        <f t="shared" si="61"/>
        <v>0.61</v>
      </c>
      <c r="P515" s="82">
        <v>0.34620000000000001</v>
      </c>
      <c r="Q515" s="82">
        <v>0.69640000000000002</v>
      </c>
      <c r="R515" s="82">
        <v>0.6</v>
      </c>
      <c r="S515" s="82">
        <v>0.61</v>
      </c>
    </row>
    <row r="516" spans="1:19">
      <c r="A516" s="19">
        <f t="shared" si="64"/>
        <v>53143</v>
      </c>
      <c r="B516" s="19">
        <f t="shared" si="63"/>
        <v>53507</v>
      </c>
      <c r="C516" s="86">
        <f t="shared" si="65"/>
        <v>0.26</v>
      </c>
      <c r="D516" s="86">
        <f t="shared" si="65"/>
        <v>0.27900000000000003</v>
      </c>
      <c r="E516" s="86">
        <f t="shared" si="65"/>
        <v>6.0999999999999999E-2</v>
      </c>
      <c r="F516" s="86">
        <f t="shared" si="65"/>
        <v>2.5999999999999999E-2</v>
      </c>
      <c r="G516" s="87">
        <v>0.26</v>
      </c>
      <c r="H516" s="87">
        <v>0.27900000000000003</v>
      </c>
      <c r="I516" s="87">
        <v>6.0999999999999999E-2</v>
      </c>
      <c r="J516" s="87">
        <v>2.5999999999999999E-2</v>
      </c>
      <c r="K516" s="25">
        <f>((2/3)*L506)+((10/3)*L518)</f>
        <v>59291</v>
      </c>
      <c r="L516" s="95"/>
      <c r="M516" s="82">
        <f t="shared" si="60"/>
        <v>0.6</v>
      </c>
      <c r="N516" s="82">
        <v>0.26</v>
      </c>
      <c r="O516" s="82">
        <f t="shared" si="61"/>
        <v>0.61</v>
      </c>
      <c r="P516" s="82">
        <v>0.34620000000000001</v>
      </c>
      <c r="Q516" s="82">
        <v>0.69640000000000002</v>
      </c>
      <c r="R516" s="82">
        <v>0.6</v>
      </c>
      <c r="S516" s="82">
        <v>0.61</v>
      </c>
    </row>
    <row r="517" spans="1:19">
      <c r="A517" s="19">
        <f t="shared" si="64"/>
        <v>53174</v>
      </c>
      <c r="B517" s="19">
        <f t="shared" si="63"/>
        <v>53538</v>
      </c>
      <c r="C517" s="83">
        <f t="shared" si="65"/>
        <v>0.26</v>
      </c>
      <c r="D517" s="83">
        <f t="shared" si="65"/>
        <v>0.27900000000000003</v>
      </c>
      <c r="E517" s="83">
        <f t="shared" si="65"/>
        <v>6.0999999999999999E-2</v>
      </c>
      <c r="F517" s="83">
        <f t="shared" si="65"/>
        <v>2.5999999999999999E-2</v>
      </c>
      <c r="G517" s="87">
        <v>0.26</v>
      </c>
      <c r="H517" s="87">
        <v>0.27900000000000003</v>
      </c>
      <c r="I517" s="87">
        <v>6.0999999999999999E-2</v>
      </c>
      <c r="J517" s="87">
        <v>2.5999999999999999E-2</v>
      </c>
      <c r="K517" s="25">
        <f>((1/3)*L506)+((11/3)*L518)</f>
        <v>59528</v>
      </c>
      <c r="L517" s="95"/>
      <c r="M517" s="82">
        <f t="shared" si="60"/>
        <v>0.6</v>
      </c>
      <c r="N517" s="82">
        <v>0.26</v>
      </c>
      <c r="O517" s="82">
        <f t="shared" si="61"/>
        <v>0.61</v>
      </c>
      <c r="P517" s="82">
        <v>0.34620000000000001</v>
      </c>
      <c r="Q517" s="82">
        <v>0.69640000000000002</v>
      </c>
      <c r="R517" s="82">
        <v>0.6</v>
      </c>
      <c r="S517" s="82">
        <v>0.61</v>
      </c>
    </row>
    <row r="518" spans="1:19" s="80" customFormat="1">
      <c r="A518" s="79">
        <f t="shared" si="64"/>
        <v>53205</v>
      </c>
      <c r="B518" s="79">
        <f t="shared" si="63"/>
        <v>53569</v>
      </c>
      <c r="C518" s="88">
        <f t="shared" si="65"/>
        <v>0.26</v>
      </c>
      <c r="D518" s="88">
        <f t="shared" si="65"/>
        <v>0.27900000000000003</v>
      </c>
      <c r="E518" s="88">
        <f t="shared" si="65"/>
        <v>6.0999999999999999E-2</v>
      </c>
      <c r="F518" s="88">
        <f t="shared" si="65"/>
        <v>2.5999999999999999E-2</v>
      </c>
      <c r="G518" s="89">
        <v>0.26</v>
      </c>
      <c r="H518" s="89">
        <v>0.27900000000000003</v>
      </c>
      <c r="I518" s="89">
        <v>6.0999999999999999E-2</v>
      </c>
      <c r="J518" s="89">
        <v>2.5999999999999999E-2</v>
      </c>
      <c r="K518" s="78">
        <f>(L518*4)</f>
        <v>59765</v>
      </c>
      <c r="L518" s="96">
        <f>L506*1.05</f>
        <v>14941.25</v>
      </c>
      <c r="M518" s="355">
        <f t="shared" si="60"/>
        <v>0.6</v>
      </c>
      <c r="N518" s="355">
        <v>0.26</v>
      </c>
      <c r="O518" s="355">
        <f t="shared" si="61"/>
        <v>0.61</v>
      </c>
      <c r="P518" s="355">
        <v>0.34620000000000001</v>
      </c>
      <c r="Q518" s="355">
        <v>0.69640000000000002</v>
      </c>
      <c r="R518" s="355">
        <v>0.6</v>
      </c>
      <c r="S518" s="355">
        <v>0.61</v>
      </c>
    </row>
    <row r="519" spans="1:19" s="80" customFormat="1">
      <c r="A519" s="79">
        <f t="shared" si="64"/>
        <v>53235</v>
      </c>
      <c r="B519" s="79">
        <f t="shared" si="63"/>
        <v>53599</v>
      </c>
      <c r="C519" s="88">
        <f t="shared" si="65"/>
        <v>0.26</v>
      </c>
      <c r="D519" s="88">
        <f t="shared" si="65"/>
        <v>0.27900000000000003</v>
      </c>
      <c r="E519" s="88">
        <f t="shared" si="65"/>
        <v>6.0999999999999999E-2</v>
      </c>
      <c r="F519" s="88">
        <f t="shared" si="65"/>
        <v>2.5999999999999999E-2</v>
      </c>
      <c r="G519" s="89">
        <v>0.26</v>
      </c>
      <c r="H519" s="89">
        <v>0.27900000000000003</v>
      </c>
      <c r="I519" s="89">
        <v>6.0999999999999999E-2</v>
      </c>
      <c r="J519" s="89">
        <v>2.5999999999999999E-2</v>
      </c>
      <c r="K519" s="78">
        <f>((11/3)*L518)+((1/3)*L530)</f>
        <v>60014</v>
      </c>
      <c r="L519" s="96"/>
      <c r="M519" s="355">
        <f t="shared" si="60"/>
        <v>0.6</v>
      </c>
      <c r="N519" s="355">
        <v>0.26</v>
      </c>
      <c r="O519" s="355">
        <f t="shared" si="61"/>
        <v>0.61</v>
      </c>
      <c r="P519" s="355">
        <v>0.34620000000000001</v>
      </c>
      <c r="Q519" s="355">
        <v>0.69640000000000002</v>
      </c>
      <c r="R519" s="355">
        <v>0.6</v>
      </c>
      <c r="S519" s="355">
        <v>0.61</v>
      </c>
    </row>
    <row r="520" spans="1:19" s="80" customFormat="1">
      <c r="A520" s="79">
        <f t="shared" si="64"/>
        <v>53266</v>
      </c>
      <c r="B520" s="79">
        <f t="shared" si="63"/>
        <v>53630</v>
      </c>
      <c r="C520" s="88">
        <f t="shared" si="65"/>
        <v>0.26</v>
      </c>
      <c r="D520" s="88">
        <f t="shared" si="65"/>
        <v>0.27900000000000003</v>
      </c>
      <c r="E520" s="88">
        <f t="shared" si="65"/>
        <v>6.0999999999999999E-2</v>
      </c>
      <c r="F520" s="88">
        <f t="shared" si="65"/>
        <v>2.5999999999999999E-2</v>
      </c>
      <c r="G520" s="89">
        <v>0.26</v>
      </c>
      <c r="H520" s="89">
        <v>0.27900000000000003</v>
      </c>
      <c r="I520" s="89">
        <v>6.0999999999999999E-2</v>
      </c>
      <c r="J520" s="89">
        <v>2.5999999999999999E-2</v>
      </c>
      <c r="K520" s="78">
        <f>((10/3)*L518)+((2/3)*L530)</f>
        <v>60263</v>
      </c>
      <c r="L520" s="96"/>
      <c r="M520" s="355">
        <f t="shared" si="60"/>
        <v>0.6</v>
      </c>
      <c r="N520" s="355">
        <v>0.26</v>
      </c>
      <c r="O520" s="355">
        <f t="shared" si="61"/>
        <v>0.61</v>
      </c>
      <c r="P520" s="355">
        <v>0.34620000000000001</v>
      </c>
      <c r="Q520" s="355">
        <v>0.69640000000000002</v>
      </c>
      <c r="R520" s="355">
        <v>0.6</v>
      </c>
      <c r="S520" s="355">
        <v>0.61</v>
      </c>
    </row>
    <row r="521" spans="1:19" s="80" customFormat="1">
      <c r="A521" s="79">
        <f t="shared" si="64"/>
        <v>53296</v>
      </c>
      <c r="B521" s="79">
        <f t="shared" si="63"/>
        <v>53660</v>
      </c>
      <c r="C521" s="88">
        <f t="shared" si="65"/>
        <v>0.26</v>
      </c>
      <c r="D521" s="88">
        <f t="shared" si="65"/>
        <v>0.27900000000000003</v>
      </c>
      <c r="E521" s="88">
        <f t="shared" si="65"/>
        <v>6.0999999999999999E-2</v>
      </c>
      <c r="F521" s="88">
        <f t="shared" si="65"/>
        <v>2.5999999999999999E-2</v>
      </c>
      <c r="G521" s="89">
        <v>0.26</v>
      </c>
      <c r="H521" s="89">
        <v>0.27900000000000003</v>
      </c>
      <c r="I521" s="89">
        <v>6.0999999999999999E-2</v>
      </c>
      <c r="J521" s="89">
        <v>2.5999999999999999E-2</v>
      </c>
      <c r="K521" s="78">
        <f>((9/3)*L518)+((3/3)*L530)</f>
        <v>60512</v>
      </c>
      <c r="L521" s="96"/>
      <c r="M521" s="355">
        <f t="shared" si="60"/>
        <v>0.6</v>
      </c>
      <c r="N521" s="355">
        <v>0.26</v>
      </c>
      <c r="O521" s="355">
        <f t="shared" si="61"/>
        <v>0.61</v>
      </c>
      <c r="P521" s="355">
        <v>0.34620000000000001</v>
      </c>
      <c r="Q521" s="355">
        <v>0.69640000000000002</v>
      </c>
      <c r="R521" s="355">
        <v>0.6</v>
      </c>
      <c r="S521" s="355">
        <v>0.61</v>
      </c>
    </row>
    <row r="522" spans="1:19" s="80" customFormat="1">
      <c r="A522" s="79">
        <f t="shared" si="64"/>
        <v>53327</v>
      </c>
      <c r="B522" s="79">
        <f t="shared" si="63"/>
        <v>53691</v>
      </c>
      <c r="C522" s="88">
        <f t="shared" si="65"/>
        <v>0.26</v>
      </c>
      <c r="D522" s="88">
        <f t="shared" si="65"/>
        <v>0.27900000000000003</v>
      </c>
      <c r="E522" s="88">
        <f t="shared" si="65"/>
        <v>6.0999999999999999E-2</v>
      </c>
      <c r="F522" s="88">
        <f t="shared" si="65"/>
        <v>2.5999999999999999E-2</v>
      </c>
      <c r="G522" s="89">
        <v>0.26</v>
      </c>
      <c r="H522" s="89">
        <v>0.27900000000000003</v>
      </c>
      <c r="I522" s="89">
        <v>6.0999999999999999E-2</v>
      </c>
      <c r="J522" s="89">
        <v>2.5999999999999999E-2</v>
      </c>
      <c r="K522" s="78">
        <f>((8/3)*L518)+((4/3)*L530)</f>
        <v>60761</v>
      </c>
      <c r="L522" s="96"/>
      <c r="M522" s="355">
        <f t="shared" si="60"/>
        <v>0.6</v>
      </c>
      <c r="N522" s="355">
        <v>0.26</v>
      </c>
      <c r="O522" s="355">
        <f t="shared" si="61"/>
        <v>0.61</v>
      </c>
      <c r="P522" s="355">
        <v>0.34620000000000001</v>
      </c>
      <c r="Q522" s="355">
        <v>0.69640000000000002</v>
      </c>
      <c r="R522" s="355">
        <v>0.6</v>
      </c>
      <c r="S522" s="355">
        <v>0.61</v>
      </c>
    </row>
    <row r="523" spans="1:19" s="80" customFormat="1">
      <c r="A523" s="79">
        <f t="shared" si="64"/>
        <v>53358</v>
      </c>
      <c r="B523" s="79">
        <f t="shared" si="63"/>
        <v>53722</v>
      </c>
      <c r="C523" s="88">
        <f t="shared" si="65"/>
        <v>0.26</v>
      </c>
      <c r="D523" s="88">
        <f t="shared" si="65"/>
        <v>0.27900000000000003</v>
      </c>
      <c r="E523" s="88">
        <f t="shared" si="65"/>
        <v>6.0999999999999999E-2</v>
      </c>
      <c r="F523" s="88">
        <f t="shared" si="65"/>
        <v>2.5999999999999999E-2</v>
      </c>
      <c r="G523" s="89">
        <v>0.26</v>
      </c>
      <c r="H523" s="89">
        <v>0.27900000000000003</v>
      </c>
      <c r="I523" s="89">
        <v>6.0999999999999999E-2</v>
      </c>
      <c r="J523" s="89">
        <v>2.5999999999999999E-2</v>
      </c>
      <c r="K523" s="78">
        <f>((7/3)*L518)+((5/3)*L530)</f>
        <v>61010</v>
      </c>
      <c r="L523" s="96"/>
      <c r="M523" s="355">
        <f t="shared" si="60"/>
        <v>0.6</v>
      </c>
      <c r="N523" s="355">
        <v>0.26</v>
      </c>
      <c r="O523" s="355">
        <f t="shared" si="61"/>
        <v>0.61</v>
      </c>
      <c r="P523" s="355">
        <v>0.34620000000000001</v>
      </c>
      <c r="Q523" s="355">
        <v>0.69640000000000002</v>
      </c>
      <c r="R523" s="355">
        <v>0.6</v>
      </c>
      <c r="S523" s="355">
        <v>0.61</v>
      </c>
    </row>
    <row r="524" spans="1:19" s="80" customFormat="1">
      <c r="A524" s="79">
        <f t="shared" si="64"/>
        <v>53386</v>
      </c>
      <c r="B524" s="79">
        <f t="shared" si="63"/>
        <v>53750</v>
      </c>
      <c r="C524" s="88">
        <f t="shared" si="65"/>
        <v>0.26</v>
      </c>
      <c r="D524" s="88">
        <f t="shared" si="65"/>
        <v>0.27900000000000003</v>
      </c>
      <c r="E524" s="88">
        <f t="shared" si="65"/>
        <v>6.0999999999999999E-2</v>
      </c>
      <c r="F524" s="88">
        <f t="shared" si="65"/>
        <v>2.5999999999999999E-2</v>
      </c>
      <c r="G524" s="89">
        <v>0.26</v>
      </c>
      <c r="H524" s="89">
        <v>0.27900000000000003</v>
      </c>
      <c r="I524" s="89">
        <v>6.0999999999999999E-2</v>
      </c>
      <c r="J524" s="89">
        <v>2.5999999999999999E-2</v>
      </c>
      <c r="K524" s="78">
        <f>((6/3)*L518)+((6/3)*L530)</f>
        <v>61259</v>
      </c>
      <c r="L524" s="96"/>
      <c r="M524" s="355">
        <f t="shared" si="60"/>
        <v>0.6</v>
      </c>
      <c r="N524" s="355">
        <v>0.26</v>
      </c>
      <c r="O524" s="355">
        <f t="shared" si="61"/>
        <v>0.61</v>
      </c>
      <c r="P524" s="355">
        <v>0.34620000000000001</v>
      </c>
      <c r="Q524" s="355">
        <v>0.69640000000000002</v>
      </c>
      <c r="R524" s="355">
        <v>0.6</v>
      </c>
      <c r="S524" s="355">
        <v>0.61</v>
      </c>
    </row>
    <row r="525" spans="1:19" s="80" customFormat="1">
      <c r="A525" s="79">
        <f t="shared" si="64"/>
        <v>53417</v>
      </c>
      <c r="B525" s="79">
        <f t="shared" si="63"/>
        <v>53781</v>
      </c>
      <c r="C525" s="88">
        <f t="shared" si="65"/>
        <v>0.26</v>
      </c>
      <c r="D525" s="88">
        <f t="shared" si="65"/>
        <v>0.27900000000000003</v>
      </c>
      <c r="E525" s="88">
        <f t="shared" si="65"/>
        <v>6.0999999999999999E-2</v>
      </c>
      <c r="F525" s="88">
        <f t="shared" si="65"/>
        <v>2.5999999999999999E-2</v>
      </c>
      <c r="G525" s="89">
        <v>0.26</v>
      </c>
      <c r="H525" s="89">
        <v>0.27900000000000003</v>
      </c>
      <c r="I525" s="89">
        <v>6.0999999999999999E-2</v>
      </c>
      <c r="J525" s="89">
        <v>2.5999999999999999E-2</v>
      </c>
      <c r="K525" s="78">
        <f>((5/3)*L518)+((7/3)*L530)</f>
        <v>61508</v>
      </c>
      <c r="L525" s="96"/>
      <c r="M525" s="355">
        <f t="shared" si="60"/>
        <v>0.6</v>
      </c>
      <c r="N525" s="355">
        <v>0.26</v>
      </c>
      <c r="O525" s="355">
        <f t="shared" si="61"/>
        <v>0.61</v>
      </c>
      <c r="P525" s="355">
        <v>0.34620000000000001</v>
      </c>
      <c r="Q525" s="355">
        <v>0.69640000000000002</v>
      </c>
      <c r="R525" s="355">
        <v>0.6</v>
      </c>
      <c r="S525" s="355">
        <v>0.61</v>
      </c>
    </row>
    <row r="526" spans="1:19" s="80" customFormat="1">
      <c r="A526" s="79">
        <f t="shared" si="64"/>
        <v>53447</v>
      </c>
      <c r="B526" s="79">
        <f t="shared" si="63"/>
        <v>53811</v>
      </c>
      <c r="C526" s="88">
        <f t="shared" si="65"/>
        <v>0.26</v>
      </c>
      <c r="D526" s="88">
        <f t="shared" si="65"/>
        <v>0.27900000000000003</v>
      </c>
      <c r="E526" s="88">
        <f t="shared" si="65"/>
        <v>6.0999999999999999E-2</v>
      </c>
      <c r="F526" s="88">
        <f t="shared" si="65"/>
        <v>2.5999999999999999E-2</v>
      </c>
      <c r="G526" s="89">
        <v>0.26</v>
      </c>
      <c r="H526" s="89">
        <v>0.27900000000000003</v>
      </c>
      <c r="I526" s="89">
        <v>6.0999999999999999E-2</v>
      </c>
      <c r="J526" s="89">
        <v>2.5999999999999999E-2</v>
      </c>
      <c r="K526" s="78">
        <f>((4/3)*L518)+((8/3)*L530)</f>
        <v>61757</v>
      </c>
      <c r="L526" s="96"/>
      <c r="M526" s="355">
        <f t="shared" si="60"/>
        <v>0.6</v>
      </c>
      <c r="N526" s="355">
        <v>0.26</v>
      </c>
      <c r="O526" s="355">
        <f t="shared" si="61"/>
        <v>0.61</v>
      </c>
      <c r="P526" s="355">
        <v>0.34620000000000001</v>
      </c>
      <c r="Q526" s="355">
        <v>0.69640000000000002</v>
      </c>
      <c r="R526" s="355">
        <v>0.6</v>
      </c>
      <c r="S526" s="355">
        <v>0.61</v>
      </c>
    </row>
    <row r="527" spans="1:19" s="80" customFormat="1">
      <c r="A527" s="79">
        <f t="shared" si="64"/>
        <v>53478</v>
      </c>
      <c r="B527" s="79">
        <f t="shared" si="63"/>
        <v>53842</v>
      </c>
      <c r="C527" s="88">
        <f t="shared" si="65"/>
        <v>0.26</v>
      </c>
      <c r="D527" s="88">
        <f t="shared" si="65"/>
        <v>0.27900000000000003</v>
      </c>
      <c r="E527" s="88">
        <f t="shared" si="65"/>
        <v>6.0999999999999999E-2</v>
      </c>
      <c r="F527" s="88">
        <f t="shared" si="65"/>
        <v>2.5999999999999999E-2</v>
      </c>
      <c r="G527" s="89">
        <v>0.26</v>
      </c>
      <c r="H527" s="89">
        <v>0.27900000000000003</v>
      </c>
      <c r="I527" s="89">
        <v>6.0999999999999999E-2</v>
      </c>
      <c r="J527" s="89">
        <v>2.5999999999999999E-2</v>
      </c>
      <c r="K527" s="78">
        <f>((3/3)*L518)+((9/3)*L530)</f>
        <v>62006</v>
      </c>
      <c r="L527" s="96"/>
      <c r="M527" s="355">
        <f t="shared" si="60"/>
        <v>0.6</v>
      </c>
      <c r="N527" s="355">
        <v>0.26</v>
      </c>
      <c r="O527" s="355">
        <f t="shared" si="61"/>
        <v>0.61</v>
      </c>
      <c r="P527" s="355">
        <v>0.34620000000000001</v>
      </c>
      <c r="Q527" s="355">
        <v>0.69640000000000002</v>
      </c>
      <c r="R527" s="355">
        <v>0.6</v>
      </c>
      <c r="S527" s="355">
        <v>0.61</v>
      </c>
    </row>
    <row r="528" spans="1:19" s="80" customFormat="1">
      <c r="A528" s="79">
        <f t="shared" si="64"/>
        <v>53508</v>
      </c>
      <c r="B528" s="79">
        <f t="shared" si="63"/>
        <v>53872</v>
      </c>
      <c r="C528" s="88">
        <f t="shared" si="65"/>
        <v>0.26</v>
      </c>
      <c r="D528" s="88">
        <f t="shared" si="65"/>
        <v>0.27900000000000003</v>
      </c>
      <c r="E528" s="88">
        <f t="shared" si="65"/>
        <v>6.0999999999999999E-2</v>
      </c>
      <c r="F528" s="88">
        <f t="shared" si="65"/>
        <v>2.5999999999999999E-2</v>
      </c>
      <c r="G528" s="89">
        <v>0.26</v>
      </c>
      <c r="H528" s="89">
        <v>0.27900000000000003</v>
      </c>
      <c r="I528" s="89">
        <v>6.0999999999999999E-2</v>
      </c>
      <c r="J528" s="89">
        <v>2.5999999999999999E-2</v>
      </c>
      <c r="K528" s="78">
        <f>((2/3)*L518)+((10/3)*L530)</f>
        <v>62255</v>
      </c>
      <c r="L528" s="96"/>
      <c r="M528" s="355">
        <f t="shared" si="60"/>
        <v>0.6</v>
      </c>
      <c r="N528" s="355">
        <v>0.26</v>
      </c>
      <c r="O528" s="355">
        <f t="shared" si="61"/>
        <v>0.61</v>
      </c>
      <c r="P528" s="355">
        <v>0.34620000000000001</v>
      </c>
      <c r="Q528" s="355">
        <v>0.69640000000000002</v>
      </c>
      <c r="R528" s="355">
        <v>0.6</v>
      </c>
      <c r="S528" s="355">
        <v>0.61</v>
      </c>
    </row>
    <row r="529" spans="1:19" s="80" customFormat="1">
      <c r="A529" s="79">
        <f t="shared" si="64"/>
        <v>53539</v>
      </c>
      <c r="B529" s="79">
        <f t="shared" si="63"/>
        <v>53903</v>
      </c>
      <c r="C529" s="88">
        <f t="shared" si="65"/>
        <v>0.26</v>
      </c>
      <c r="D529" s="88">
        <f t="shared" si="65"/>
        <v>0.27900000000000003</v>
      </c>
      <c r="E529" s="88">
        <f t="shared" si="65"/>
        <v>6.0999999999999999E-2</v>
      </c>
      <c r="F529" s="88">
        <f t="shared" si="65"/>
        <v>2.5999999999999999E-2</v>
      </c>
      <c r="G529" s="89">
        <v>0.26</v>
      </c>
      <c r="H529" s="89">
        <v>0.27900000000000003</v>
      </c>
      <c r="I529" s="89">
        <v>6.0999999999999999E-2</v>
      </c>
      <c r="J529" s="89">
        <v>2.5999999999999999E-2</v>
      </c>
      <c r="K529" s="78">
        <f>((1/3)*L518)+((11/3)*L530)</f>
        <v>62504</v>
      </c>
      <c r="L529" s="96"/>
      <c r="M529" s="355">
        <f t="shared" si="60"/>
        <v>0.6</v>
      </c>
      <c r="N529" s="355">
        <v>0.26</v>
      </c>
      <c r="O529" s="355">
        <f t="shared" si="61"/>
        <v>0.61</v>
      </c>
      <c r="P529" s="355">
        <v>0.34620000000000001</v>
      </c>
      <c r="Q529" s="355">
        <v>0.69640000000000002</v>
      </c>
      <c r="R529" s="355">
        <v>0.6</v>
      </c>
      <c r="S529" s="355">
        <v>0.61</v>
      </c>
    </row>
    <row r="530" spans="1:19">
      <c r="A530" s="19">
        <f t="shared" si="64"/>
        <v>53570</v>
      </c>
      <c r="B530" s="19">
        <f t="shared" si="63"/>
        <v>53934</v>
      </c>
      <c r="C530" s="86">
        <f t="shared" si="65"/>
        <v>0.26</v>
      </c>
      <c r="D530" s="86">
        <f t="shared" si="65"/>
        <v>0.27900000000000003</v>
      </c>
      <c r="E530" s="86">
        <f t="shared" si="65"/>
        <v>6.0999999999999999E-2</v>
      </c>
      <c r="F530" s="86">
        <f t="shared" si="65"/>
        <v>2.5999999999999999E-2</v>
      </c>
      <c r="G530" s="87">
        <v>0.26</v>
      </c>
      <c r="H530" s="87">
        <v>0.27900000000000003</v>
      </c>
      <c r="I530" s="87">
        <v>6.0999999999999999E-2</v>
      </c>
      <c r="J530" s="87">
        <v>2.5999999999999999E-2</v>
      </c>
      <c r="K530" s="25">
        <f>(L530*4)</f>
        <v>62753</v>
      </c>
      <c r="L530" s="95">
        <f>L518*1.05</f>
        <v>15688.31</v>
      </c>
      <c r="M530" s="82">
        <f t="shared" si="60"/>
        <v>0.6</v>
      </c>
      <c r="N530" s="82">
        <v>0.26</v>
      </c>
      <c r="O530" s="82">
        <f t="shared" si="61"/>
        <v>0.61</v>
      </c>
      <c r="P530" s="82">
        <v>0.34620000000000001</v>
      </c>
      <c r="Q530" s="82">
        <v>0.69640000000000002</v>
      </c>
      <c r="R530" s="82">
        <v>0.6</v>
      </c>
      <c r="S530" s="82">
        <v>0.61</v>
      </c>
    </row>
    <row r="531" spans="1:19">
      <c r="A531" s="19">
        <f t="shared" si="64"/>
        <v>53600</v>
      </c>
      <c r="B531" s="19">
        <f t="shared" si="63"/>
        <v>53964</v>
      </c>
      <c r="C531" s="86">
        <f t="shared" ref="C531:F546" si="66">AVERAGE(G531:G542)</f>
        <v>0.26</v>
      </c>
      <c r="D531" s="86">
        <f t="shared" si="66"/>
        <v>0.27900000000000003</v>
      </c>
      <c r="E531" s="86">
        <f t="shared" si="66"/>
        <v>6.0999999999999999E-2</v>
      </c>
      <c r="F531" s="86">
        <f t="shared" si="66"/>
        <v>2.5999999999999999E-2</v>
      </c>
      <c r="G531" s="87">
        <v>0.26</v>
      </c>
      <c r="H531" s="87">
        <v>0.27900000000000003</v>
      </c>
      <c r="I531" s="87">
        <v>6.0999999999999999E-2</v>
      </c>
      <c r="J531" s="87">
        <v>2.5999999999999999E-2</v>
      </c>
      <c r="K531" s="25">
        <f>((11/3)*L530)+((1/3)*L542)</f>
        <v>63015</v>
      </c>
      <c r="L531" s="95"/>
      <c r="M531" s="82">
        <f t="shared" si="60"/>
        <v>0.6</v>
      </c>
      <c r="N531" s="82">
        <v>0.26</v>
      </c>
      <c r="O531" s="82">
        <f t="shared" si="61"/>
        <v>0.61</v>
      </c>
      <c r="P531" s="82">
        <v>0.34620000000000001</v>
      </c>
      <c r="Q531" s="82">
        <v>0.69640000000000002</v>
      </c>
      <c r="R531" s="82">
        <v>0.6</v>
      </c>
      <c r="S531" s="82">
        <v>0.61</v>
      </c>
    </row>
    <row r="532" spans="1:19">
      <c r="A532" s="19">
        <f t="shared" si="64"/>
        <v>53631</v>
      </c>
      <c r="B532" s="19">
        <f t="shared" si="63"/>
        <v>53995</v>
      </c>
      <c r="C532" s="86">
        <f t="shared" si="66"/>
        <v>0.26</v>
      </c>
      <c r="D532" s="86">
        <f t="shared" si="66"/>
        <v>0.27900000000000003</v>
      </c>
      <c r="E532" s="86">
        <f t="shared" si="66"/>
        <v>6.0999999999999999E-2</v>
      </c>
      <c r="F532" s="86">
        <f t="shared" si="66"/>
        <v>2.5999999999999999E-2</v>
      </c>
      <c r="G532" s="87">
        <v>0.26</v>
      </c>
      <c r="H532" s="87">
        <v>0.27900000000000003</v>
      </c>
      <c r="I532" s="87">
        <v>6.0999999999999999E-2</v>
      </c>
      <c r="J532" s="87">
        <v>2.5999999999999999E-2</v>
      </c>
      <c r="K532" s="25">
        <f>((10/3)*L530)+((2/3)*L542)</f>
        <v>63276</v>
      </c>
      <c r="L532" s="95"/>
      <c r="M532" s="82">
        <f t="shared" si="60"/>
        <v>0.6</v>
      </c>
      <c r="N532" s="82">
        <v>0.26</v>
      </c>
      <c r="O532" s="82">
        <f t="shared" si="61"/>
        <v>0.61</v>
      </c>
      <c r="P532" s="82">
        <v>0.34620000000000001</v>
      </c>
      <c r="Q532" s="82">
        <v>0.69640000000000002</v>
      </c>
      <c r="R532" s="82">
        <v>0.6</v>
      </c>
      <c r="S532" s="82">
        <v>0.61</v>
      </c>
    </row>
    <row r="533" spans="1:19">
      <c r="A533" s="19">
        <f t="shared" si="64"/>
        <v>53661</v>
      </c>
      <c r="B533" s="19">
        <f t="shared" si="63"/>
        <v>54025</v>
      </c>
      <c r="C533" s="86">
        <f t="shared" si="66"/>
        <v>0.26</v>
      </c>
      <c r="D533" s="86">
        <f t="shared" si="66"/>
        <v>0.27900000000000003</v>
      </c>
      <c r="E533" s="86">
        <f t="shared" si="66"/>
        <v>6.0999999999999999E-2</v>
      </c>
      <c r="F533" s="86">
        <f t="shared" si="66"/>
        <v>2.5999999999999999E-2</v>
      </c>
      <c r="G533" s="87">
        <v>0.26</v>
      </c>
      <c r="H533" s="87">
        <v>0.27900000000000003</v>
      </c>
      <c r="I533" s="87">
        <v>6.0999999999999999E-2</v>
      </c>
      <c r="J533" s="87">
        <v>2.5999999999999999E-2</v>
      </c>
      <c r="K533" s="25">
        <f>((9/3)*L530)+((3/3)*L542)</f>
        <v>63538</v>
      </c>
      <c r="L533" s="95"/>
      <c r="M533" s="82">
        <f t="shared" si="60"/>
        <v>0.6</v>
      </c>
      <c r="N533" s="82">
        <v>0.26</v>
      </c>
      <c r="O533" s="82">
        <f t="shared" si="61"/>
        <v>0.61</v>
      </c>
      <c r="P533" s="82">
        <v>0.34620000000000001</v>
      </c>
      <c r="Q533" s="82">
        <v>0.69640000000000002</v>
      </c>
      <c r="R533" s="82">
        <v>0.6</v>
      </c>
      <c r="S533" s="82">
        <v>0.61</v>
      </c>
    </row>
    <row r="534" spans="1:19">
      <c r="A534" s="19">
        <f t="shared" si="64"/>
        <v>53692</v>
      </c>
      <c r="B534" s="19">
        <f t="shared" si="63"/>
        <v>54056</v>
      </c>
      <c r="C534" s="86">
        <f t="shared" si="66"/>
        <v>0.26</v>
      </c>
      <c r="D534" s="86">
        <f t="shared" si="66"/>
        <v>0.27900000000000003</v>
      </c>
      <c r="E534" s="86">
        <f t="shared" si="66"/>
        <v>6.0999999999999999E-2</v>
      </c>
      <c r="F534" s="86">
        <f t="shared" si="66"/>
        <v>2.5999999999999999E-2</v>
      </c>
      <c r="G534" s="87">
        <v>0.26</v>
      </c>
      <c r="H534" s="87">
        <v>0.27900000000000003</v>
      </c>
      <c r="I534" s="87">
        <v>6.0999999999999999E-2</v>
      </c>
      <c r="J534" s="87">
        <v>2.5999999999999999E-2</v>
      </c>
      <c r="K534" s="25">
        <f>((8/3)*L530)+((4/3)*L542)</f>
        <v>63799</v>
      </c>
      <c r="L534" s="95"/>
      <c r="M534" s="82">
        <f t="shared" si="60"/>
        <v>0.6</v>
      </c>
      <c r="N534" s="82">
        <v>0.26</v>
      </c>
      <c r="O534" s="82">
        <f t="shared" si="61"/>
        <v>0.61</v>
      </c>
      <c r="P534" s="82">
        <v>0.34620000000000001</v>
      </c>
      <c r="Q534" s="82">
        <v>0.69640000000000002</v>
      </c>
      <c r="R534" s="82">
        <v>0.6</v>
      </c>
      <c r="S534" s="82">
        <v>0.61</v>
      </c>
    </row>
    <row r="535" spans="1:19">
      <c r="A535" s="19">
        <f t="shared" si="64"/>
        <v>53723</v>
      </c>
      <c r="B535" s="19">
        <f t="shared" si="63"/>
        <v>54087</v>
      </c>
      <c r="C535" s="86">
        <f t="shared" si="66"/>
        <v>0.26</v>
      </c>
      <c r="D535" s="86">
        <f t="shared" si="66"/>
        <v>0.27900000000000003</v>
      </c>
      <c r="E535" s="86">
        <f t="shared" si="66"/>
        <v>6.0999999999999999E-2</v>
      </c>
      <c r="F535" s="86">
        <f t="shared" si="66"/>
        <v>2.5999999999999999E-2</v>
      </c>
      <c r="G535" s="87">
        <v>0.26</v>
      </c>
      <c r="H535" s="87">
        <v>0.27900000000000003</v>
      </c>
      <c r="I535" s="87">
        <v>6.0999999999999999E-2</v>
      </c>
      <c r="J535" s="87">
        <v>2.5999999999999999E-2</v>
      </c>
      <c r="K535" s="25">
        <f>((7/3)*L530)+((5/3)*L542)</f>
        <v>64061</v>
      </c>
      <c r="L535" s="95"/>
      <c r="M535" s="82">
        <f t="shared" si="60"/>
        <v>0.6</v>
      </c>
      <c r="N535" s="82">
        <v>0.26</v>
      </c>
      <c r="O535" s="82">
        <f t="shared" si="61"/>
        <v>0.61</v>
      </c>
      <c r="P535" s="82">
        <v>0.34620000000000001</v>
      </c>
      <c r="Q535" s="82">
        <v>0.69640000000000002</v>
      </c>
      <c r="R535" s="82">
        <v>0.6</v>
      </c>
      <c r="S535" s="82">
        <v>0.61</v>
      </c>
    </row>
    <row r="536" spans="1:19">
      <c r="A536" s="19">
        <f t="shared" si="64"/>
        <v>53751</v>
      </c>
      <c r="B536" s="19">
        <f t="shared" si="63"/>
        <v>54116</v>
      </c>
      <c r="C536" s="86">
        <f t="shared" si="66"/>
        <v>0.26</v>
      </c>
      <c r="D536" s="86">
        <f t="shared" si="66"/>
        <v>0.27900000000000003</v>
      </c>
      <c r="E536" s="86">
        <f t="shared" si="66"/>
        <v>6.0999999999999999E-2</v>
      </c>
      <c r="F536" s="86">
        <f t="shared" si="66"/>
        <v>2.5999999999999999E-2</v>
      </c>
      <c r="G536" s="87">
        <v>0.26</v>
      </c>
      <c r="H536" s="87">
        <v>0.27900000000000003</v>
      </c>
      <c r="I536" s="87">
        <v>6.0999999999999999E-2</v>
      </c>
      <c r="J536" s="87">
        <v>2.5999999999999999E-2</v>
      </c>
      <c r="K536" s="25">
        <f>((6/3)*L530)+((6/3)*L542)</f>
        <v>64322</v>
      </c>
      <c r="L536" s="95"/>
      <c r="M536" s="82">
        <f t="shared" si="60"/>
        <v>0.6</v>
      </c>
      <c r="N536" s="82">
        <v>0.26</v>
      </c>
      <c r="O536" s="82">
        <f t="shared" si="61"/>
        <v>0.61</v>
      </c>
      <c r="P536" s="82">
        <v>0.34620000000000001</v>
      </c>
      <c r="Q536" s="82">
        <v>0.69640000000000002</v>
      </c>
      <c r="R536" s="82">
        <v>0.6</v>
      </c>
      <c r="S536" s="82">
        <v>0.61</v>
      </c>
    </row>
    <row r="537" spans="1:19">
      <c r="A537" s="19">
        <f t="shared" si="64"/>
        <v>53782</v>
      </c>
      <c r="B537" s="19">
        <f t="shared" si="63"/>
        <v>54147</v>
      </c>
      <c r="C537" s="86">
        <f t="shared" si="66"/>
        <v>0.26</v>
      </c>
      <c r="D537" s="86">
        <f t="shared" si="66"/>
        <v>0.27900000000000003</v>
      </c>
      <c r="E537" s="86">
        <f t="shared" si="66"/>
        <v>6.0999999999999999E-2</v>
      </c>
      <c r="F537" s="86">
        <f t="shared" si="66"/>
        <v>2.5999999999999999E-2</v>
      </c>
      <c r="G537" s="87">
        <v>0.26</v>
      </c>
      <c r="H537" s="87">
        <v>0.27900000000000003</v>
      </c>
      <c r="I537" s="87">
        <v>6.0999999999999999E-2</v>
      </c>
      <c r="J537" s="87">
        <v>2.5999999999999999E-2</v>
      </c>
      <c r="K537" s="25">
        <f>((5/3)*L530)+((7/3)*L542)</f>
        <v>64584</v>
      </c>
      <c r="L537" s="95"/>
      <c r="M537" s="82">
        <f t="shared" si="60"/>
        <v>0.6</v>
      </c>
      <c r="N537" s="82">
        <v>0.26</v>
      </c>
      <c r="O537" s="82">
        <f t="shared" si="61"/>
        <v>0.61</v>
      </c>
      <c r="P537" s="82">
        <v>0.34620000000000001</v>
      </c>
      <c r="Q537" s="82">
        <v>0.69640000000000002</v>
      </c>
      <c r="R537" s="82">
        <v>0.6</v>
      </c>
      <c r="S537" s="82">
        <v>0.61</v>
      </c>
    </row>
    <row r="538" spans="1:19">
      <c r="A538" s="19">
        <f t="shared" si="64"/>
        <v>53812</v>
      </c>
      <c r="B538" s="19">
        <f t="shared" si="63"/>
        <v>54177</v>
      </c>
      <c r="C538" s="86">
        <f t="shared" si="66"/>
        <v>0.26</v>
      </c>
      <c r="D538" s="86">
        <f t="shared" si="66"/>
        <v>0.27900000000000003</v>
      </c>
      <c r="E538" s="86">
        <f t="shared" si="66"/>
        <v>6.0999999999999999E-2</v>
      </c>
      <c r="F538" s="86">
        <f t="shared" si="66"/>
        <v>2.5999999999999999E-2</v>
      </c>
      <c r="G538" s="87">
        <v>0.26</v>
      </c>
      <c r="H538" s="87">
        <v>0.27900000000000003</v>
      </c>
      <c r="I538" s="87">
        <v>6.0999999999999999E-2</v>
      </c>
      <c r="J538" s="87">
        <v>2.5999999999999999E-2</v>
      </c>
      <c r="K538" s="25">
        <f>((4/3)*L530)+((8/3)*L542)</f>
        <v>64845</v>
      </c>
      <c r="L538" s="95"/>
      <c r="M538" s="82">
        <f t="shared" si="60"/>
        <v>0.6</v>
      </c>
      <c r="N538" s="82">
        <v>0.26</v>
      </c>
      <c r="O538" s="82">
        <f t="shared" si="61"/>
        <v>0.61</v>
      </c>
      <c r="P538" s="82">
        <v>0.34620000000000001</v>
      </c>
      <c r="Q538" s="82">
        <v>0.69640000000000002</v>
      </c>
      <c r="R538" s="82">
        <v>0.6</v>
      </c>
      <c r="S538" s="82">
        <v>0.61</v>
      </c>
    </row>
    <row r="539" spans="1:19">
      <c r="A539" s="19">
        <f t="shared" si="64"/>
        <v>53843</v>
      </c>
      <c r="B539" s="19">
        <f t="shared" si="63"/>
        <v>54208</v>
      </c>
      <c r="C539" s="86">
        <f t="shared" si="66"/>
        <v>0.26</v>
      </c>
      <c r="D539" s="86">
        <f t="shared" si="66"/>
        <v>0.27900000000000003</v>
      </c>
      <c r="E539" s="86">
        <f t="shared" si="66"/>
        <v>6.0999999999999999E-2</v>
      </c>
      <c r="F539" s="86">
        <f t="shared" si="66"/>
        <v>2.5999999999999999E-2</v>
      </c>
      <c r="G539" s="87">
        <v>0.26</v>
      </c>
      <c r="H539" s="87">
        <v>0.27900000000000003</v>
      </c>
      <c r="I539" s="87">
        <v>6.0999999999999999E-2</v>
      </c>
      <c r="J539" s="87">
        <v>2.5999999999999999E-2</v>
      </c>
      <c r="K539" s="25">
        <f>((3/3)*L530)+((9/3)*L542)</f>
        <v>65107</v>
      </c>
      <c r="L539" s="95"/>
      <c r="M539" s="82">
        <f t="shared" si="60"/>
        <v>0.6</v>
      </c>
      <c r="N539" s="82">
        <v>0.26</v>
      </c>
      <c r="O539" s="82">
        <f t="shared" si="61"/>
        <v>0.61</v>
      </c>
      <c r="P539" s="82">
        <v>0.34620000000000001</v>
      </c>
      <c r="Q539" s="82">
        <v>0.69640000000000002</v>
      </c>
      <c r="R539" s="82">
        <v>0.6</v>
      </c>
      <c r="S539" s="82">
        <v>0.61</v>
      </c>
    </row>
    <row r="540" spans="1:19">
      <c r="A540" s="19">
        <f t="shared" si="64"/>
        <v>53873</v>
      </c>
      <c r="B540" s="19">
        <f t="shared" si="63"/>
        <v>54238</v>
      </c>
      <c r="C540" s="86">
        <f t="shared" si="66"/>
        <v>0.26</v>
      </c>
      <c r="D540" s="86">
        <f t="shared" si="66"/>
        <v>0.27900000000000003</v>
      </c>
      <c r="E540" s="86">
        <f t="shared" si="66"/>
        <v>6.0999999999999999E-2</v>
      </c>
      <c r="F540" s="86">
        <f t="shared" si="66"/>
        <v>2.5999999999999999E-2</v>
      </c>
      <c r="G540" s="87">
        <v>0.26</v>
      </c>
      <c r="H540" s="87">
        <v>0.27900000000000003</v>
      </c>
      <c r="I540" s="87">
        <v>6.0999999999999999E-2</v>
      </c>
      <c r="J540" s="87">
        <v>2.5999999999999999E-2</v>
      </c>
      <c r="K540" s="25">
        <f>((2/3)*L530)+((10/3)*L542)</f>
        <v>65368</v>
      </c>
      <c r="L540" s="95"/>
      <c r="M540" s="82">
        <f t="shared" si="60"/>
        <v>0.6</v>
      </c>
      <c r="N540" s="82">
        <v>0.26</v>
      </c>
      <c r="O540" s="82">
        <f t="shared" si="61"/>
        <v>0.61</v>
      </c>
      <c r="P540" s="82">
        <v>0.34620000000000001</v>
      </c>
      <c r="Q540" s="82">
        <v>0.69640000000000002</v>
      </c>
      <c r="R540" s="82">
        <v>0.6</v>
      </c>
      <c r="S540" s="82">
        <v>0.61</v>
      </c>
    </row>
    <row r="541" spans="1:19">
      <c r="A541" s="19">
        <f t="shared" si="64"/>
        <v>53904</v>
      </c>
      <c r="B541" s="19">
        <f t="shared" si="63"/>
        <v>54269</v>
      </c>
      <c r="C541" s="83">
        <f t="shared" si="66"/>
        <v>0.26</v>
      </c>
      <c r="D541" s="83">
        <f t="shared" si="66"/>
        <v>0.27900000000000003</v>
      </c>
      <c r="E541" s="83">
        <f t="shared" si="66"/>
        <v>6.0999999999999999E-2</v>
      </c>
      <c r="F541" s="83">
        <f t="shared" si="66"/>
        <v>2.5999999999999999E-2</v>
      </c>
      <c r="G541" s="87">
        <v>0.26</v>
      </c>
      <c r="H541" s="87">
        <v>0.27900000000000003</v>
      </c>
      <c r="I541" s="87">
        <v>6.0999999999999999E-2</v>
      </c>
      <c r="J541" s="87">
        <v>2.5999999999999999E-2</v>
      </c>
      <c r="K541" s="25">
        <f>((1/3)*L530)+((11/3)*L542)</f>
        <v>65629</v>
      </c>
      <c r="L541" s="95"/>
      <c r="M541" s="82">
        <f t="shared" si="60"/>
        <v>0.6</v>
      </c>
      <c r="N541" s="82">
        <v>0.26</v>
      </c>
      <c r="O541" s="82">
        <f t="shared" si="61"/>
        <v>0.61</v>
      </c>
      <c r="P541" s="82">
        <v>0.34620000000000001</v>
      </c>
      <c r="Q541" s="82">
        <v>0.69640000000000002</v>
      </c>
      <c r="R541" s="82">
        <v>0.6</v>
      </c>
      <c r="S541" s="82">
        <v>0.61</v>
      </c>
    </row>
    <row r="542" spans="1:19" s="80" customFormat="1">
      <c r="A542" s="79">
        <f t="shared" si="64"/>
        <v>53935</v>
      </c>
      <c r="B542" s="79">
        <f t="shared" si="63"/>
        <v>54300</v>
      </c>
      <c r="C542" s="88">
        <f t="shared" si="66"/>
        <v>0.26</v>
      </c>
      <c r="D542" s="88">
        <f t="shared" si="66"/>
        <v>0.27900000000000003</v>
      </c>
      <c r="E542" s="88">
        <f t="shared" si="66"/>
        <v>6.0999999999999999E-2</v>
      </c>
      <c r="F542" s="88">
        <f t="shared" si="66"/>
        <v>2.5999999999999999E-2</v>
      </c>
      <c r="G542" s="89">
        <v>0.26</v>
      </c>
      <c r="H542" s="89">
        <v>0.27900000000000003</v>
      </c>
      <c r="I542" s="89">
        <v>6.0999999999999999E-2</v>
      </c>
      <c r="J542" s="89">
        <v>2.5999999999999999E-2</v>
      </c>
      <c r="K542" s="78">
        <f>(L542*4)</f>
        <v>65891</v>
      </c>
      <c r="L542" s="96">
        <f>L530*1.05</f>
        <v>16472.73</v>
      </c>
      <c r="M542" s="355">
        <f t="shared" si="60"/>
        <v>0.6</v>
      </c>
      <c r="N542" s="355">
        <v>0.26</v>
      </c>
      <c r="O542" s="355">
        <f t="shared" si="61"/>
        <v>0.61</v>
      </c>
      <c r="P542" s="355">
        <v>0.34620000000000001</v>
      </c>
      <c r="Q542" s="355">
        <v>0.69640000000000002</v>
      </c>
      <c r="R542" s="355">
        <v>0.6</v>
      </c>
      <c r="S542" s="355">
        <v>0.61</v>
      </c>
    </row>
    <row r="543" spans="1:19" s="80" customFormat="1">
      <c r="A543" s="79">
        <f t="shared" si="64"/>
        <v>53965</v>
      </c>
      <c r="B543" s="79">
        <f t="shared" si="63"/>
        <v>54330</v>
      </c>
      <c r="C543" s="88">
        <f t="shared" si="66"/>
        <v>0.26</v>
      </c>
      <c r="D543" s="88">
        <f t="shared" si="66"/>
        <v>0.27900000000000003</v>
      </c>
      <c r="E543" s="88">
        <f t="shared" si="66"/>
        <v>6.0999999999999999E-2</v>
      </c>
      <c r="F543" s="88">
        <f t="shared" si="66"/>
        <v>2.5999999999999999E-2</v>
      </c>
      <c r="G543" s="89">
        <v>0.26</v>
      </c>
      <c r="H543" s="89">
        <v>0.27900000000000003</v>
      </c>
      <c r="I543" s="89">
        <v>6.0999999999999999E-2</v>
      </c>
      <c r="J543" s="89">
        <v>2.5999999999999999E-2</v>
      </c>
      <c r="K543" s="78">
        <f>((11/3)*L542)+((1/3)*L554)</f>
        <v>66165</v>
      </c>
      <c r="L543" s="96"/>
      <c r="M543" s="355">
        <f t="shared" si="60"/>
        <v>0.6</v>
      </c>
      <c r="N543" s="355">
        <v>0.26</v>
      </c>
      <c r="O543" s="355">
        <f t="shared" si="61"/>
        <v>0.61</v>
      </c>
      <c r="P543" s="355">
        <v>0.34620000000000001</v>
      </c>
      <c r="Q543" s="355">
        <v>0.69640000000000002</v>
      </c>
      <c r="R543" s="355">
        <v>0.6</v>
      </c>
      <c r="S543" s="355">
        <v>0.61</v>
      </c>
    </row>
    <row r="544" spans="1:19" s="80" customFormat="1">
      <c r="A544" s="79">
        <f t="shared" si="64"/>
        <v>53996</v>
      </c>
      <c r="B544" s="79">
        <f t="shared" si="63"/>
        <v>54361</v>
      </c>
      <c r="C544" s="88">
        <f t="shared" si="66"/>
        <v>0.26</v>
      </c>
      <c r="D544" s="88">
        <f t="shared" si="66"/>
        <v>0.27900000000000003</v>
      </c>
      <c r="E544" s="88">
        <f t="shared" si="66"/>
        <v>6.0999999999999999E-2</v>
      </c>
      <c r="F544" s="88">
        <f t="shared" si="66"/>
        <v>2.5999999999999999E-2</v>
      </c>
      <c r="G544" s="89">
        <v>0.26</v>
      </c>
      <c r="H544" s="89">
        <v>0.27900000000000003</v>
      </c>
      <c r="I544" s="89">
        <v>6.0999999999999999E-2</v>
      </c>
      <c r="J544" s="89">
        <v>2.5999999999999999E-2</v>
      </c>
      <c r="K544" s="78">
        <f>((10/3)*L542)+((2/3)*L554)</f>
        <v>66440</v>
      </c>
      <c r="L544" s="96"/>
      <c r="M544" s="355">
        <f t="shared" si="60"/>
        <v>0.6</v>
      </c>
      <c r="N544" s="355">
        <v>0.26</v>
      </c>
      <c r="O544" s="355">
        <f t="shared" si="61"/>
        <v>0.61</v>
      </c>
      <c r="P544" s="355">
        <v>0.34620000000000001</v>
      </c>
      <c r="Q544" s="355">
        <v>0.69640000000000002</v>
      </c>
      <c r="R544" s="355">
        <v>0.6</v>
      </c>
      <c r="S544" s="355">
        <v>0.61</v>
      </c>
    </row>
    <row r="545" spans="1:19" s="80" customFormat="1">
      <c r="A545" s="79">
        <f t="shared" si="64"/>
        <v>54026</v>
      </c>
      <c r="B545" s="79">
        <f t="shared" si="63"/>
        <v>54391</v>
      </c>
      <c r="C545" s="88">
        <f t="shared" si="66"/>
        <v>0.26</v>
      </c>
      <c r="D545" s="88">
        <f t="shared" si="66"/>
        <v>0.27900000000000003</v>
      </c>
      <c r="E545" s="88">
        <f t="shared" si="66"/>
        <v>6.0999999999999999E-2</v>
      </c>
      <c r="F545" s="88">
        <f t="shared" si="66"/>
        <v>2.5999999999999999E-2</v>
      </c>
      <c r="G545" s="89">
        <v>0.26</v>
      </c>
      <c r="H545" s="89">
        <v>0.27900000000000003</v>
      </c>
      <c r="I545" s="89">
        <v>6.0999999999999999E-2</v>
      </c>
      <c r="J545" s="89">
        <v>2.5999999999999999E-2</v>
      </c>
      <c r="K545" s="78">
        <f>((9/3)*L542)+((3/3)*L554)</f>
        <v>66715</v>
      </c>
      <c r="L545" s="96"/>
      <c r="M545" s="355">
        <f t="shared" si="60"/>
        <v>0.6</v>
      </c>
      <c r="N545" s="355">
        <v>0.26</v>
      </c>
      <c r="O545" s="355">
        <f t="shared" si="61"/>
        <v>0.61</v>
      </c>
      <c r="P545" s="355">
        <v>0.34620000000000001</v>
      </c>
      <c r="Q545" s="355">
        <v>0.69640000000000002</v>
      </c>
      <c r="R545" s="355">
        <v>0.6</v>
      </c>
      <c r="S545" s="355">
        <v>0.61</v>
      </c>
    </row>
    <row r="546" spans="1:19" s="80" customFormat="1">
      <c r="A546" s="79">
        <f t="shared" si="64"/>
        <v>54057</v>
      </c>
      <c r="B546" s="79">
        <f t="shared" si="63"/>
        <v>54422</v>
      </c>
      <c r="C546" s="88">
        <f t="shared" si="66"/>
        <v>0.26</v>
      </c>
      <c r="D546" s="88">
        <f t="shared" si="66"/>
        <v>0.27900000000000003</v>
      </c>
      <c r="E546" s="88">
        <f t="shared" si="66"/>
        <v>6.0999999999999999E-2</v>
      </c>
      <c r="F546" s="88">
        <f t="shared" si="66"/>
        <v>2.5999999999999999E-2</v>
      </c>
      <c r="G546" s="89">
        <v>0.26</v>
      </c>
      <c r="H546" s="89">
        <v>0.27900000000000003</v>
      </c>
      <c r="I546" s="89">
        <v>6.0999999999999999E-2</v>
      </c>
      <c r="J546" s="89">
        <v>2.5999999999999999E-2</v>
      </c>
      <c r="K546" s="78">
        <f>((8/3)*L542)+((4/3)*L554)</f>
        <v>66989</v>
      </c>
      <c r="L546" s="96"/>
      <c r="M546" s="355">
        <f t="shared" si="60"/>
        <v>0.6</v>
      </c>
      <c r="N546" s="355">
        <v>0.26</v>
      </c>
      <c r="O546" s="355">
        <f t="shared" si="61"/>
        <v>0.61</v>
      </c>
      <c r="P546" s="355">
        <v>0.34620000000000001</v>
      </c>
      <c r="Q546" s="355">
        <v>0.69640000000000002</v>
      </c>
      <c r="R546" s="355">
        <v>0.6</v>
      </c>
      <c r="S546" s="355">
        <v>0.61</v>
      </c>
    </row>
    <row r="547" spans="1:19" s="80" customFormat="1">
      <c r="A547" s="79">
        <f t="shared" si="64"/>
        <v>54088</v>
      </c>
      <c r="B547" s="79">
        <f t="shared" si="63"/>
        <v>54453</v>
      </c>
      <c r="C547" s="88">
        <f t="shared" ref="C547:F562" si="67">AVERAGE(G547:G558)</f>
        <v>0.26</v>
      </c>
      <c r="D547" s="88">
        <f t="shared" si="67"/>
        <v>0.27900000000000003</v>
      </c>
      <c r="E547" s="88">
        <f t="shared" si="67"/>
        <v>6.0999999999999999E-2</v>
      </c>
      <c r="F547" s="88">
        <f t="shared" si="67"/>
        <v>2.5999999999999999E-2</v>
      </c>
      <c r="G547" s="89">
        <v>0.26</v>
      </c>
      <c r="H547" s="89">
        <v>0.27900000000000003</v>
      </c>
      <c r="I547" s="89">
        <v>6.0999999999999999E-2</v>
      </c>
      <c r="J547" s="89">
        <v>2.5999999999999999E-2</v>
      </c>
      <c r="K547" s="78">
        <f>((7/3)*L542)+((5/3)*L554)</f>
        <v>67264</v>
      </c>
      <c r="L547" s="96"/>
      <c r="M547" s="355">
        <f t="shared" si="60"/>
        <v>0.6</v>
      </c>
      <c r="N547" s="355">
        <v>0.26</v>
      </c>
      <c r="O547" s="355">
        <f t="shared" si="61"/>
        <v>0.61</v>
      </c>
      <c r="P547" s="355">
        <v>0.34620000000000001</v>
      </c>
      <c r="Q547" s="355">
        <v>0.69640000000000002</v>
      </c>
      <c r="R547" s="355">
        <v>0.6</v>
      </c>
      <c r="S547" s="355">
        <v>0.61</v>
      </c>
    </row>
    <row r="548" spans="1:19" s="80" customFormat="1">
      <c r="A548" s="79">
        <f t="shared" si="64"/>
        <v>54117</v>
      </c>
      <c r="B548" s="79">
        <f t="shared" si="63"/>
        <v>54481</v>
      </c>
      <c r="C548" s="88">
        <f t="shared" si="67"/>
        <v>0.26</v>
      </c>
      <c r="D548" s="88">
        <f t="shared" si="67"/>
        <v>0.27900000000000003</v>
      </c>
      <c r="E548" s="88">
        <f t="shared" si="67"/>
        <v>6.0999999999999999E-2</v>
      </c>
      <c r="F548" s="88">
        <f t="shared" si="67"/>
        <v>2.5999999999999999E-2</v>
      </c>
      <c r="G548" s="89">
        <v>0.26</v>
      </c>
      <c r="H548" s="89">
        <v>0.27900000000000003</v>
      </c>
      <c r="I548" s="89">
        <v>6.0999999999999999E-2</v>
      </c>
      <c r="J548" s="89">
        <v>2.5999999999999999E-2</v>
      </c>
      <c r="K548" s="78">
        <f>((6/3)*L542)+((6/3)*L554)</f>
        <v>67538</v>
      </c>
      <c r="L548" s="96"/>
      <c r="M548" s="355">
        <f t="shared" si="60"/>
        <v>0.6</v>
      </c>
      <c r="N548" s="355">
        <v>0.26</v>
      </c>
      <c r="O548" s="355">
        <f t="shared" si="61"/>
        <v>0.61</v>
      </c>
      <c r="P548" s="355">
        <v>0.34620000000000001</v>
      </c>
      <c r="Q548" s="355">
        <v>0.69640000000000002</v>
      </c>
      <c r="R548" s="355">
        <v>0.6</v>
      </c>
      <c r="S548" s="355">
        <v>0.61</v>
      </c>
    </row>
    <row r="549" spans="1:19" s="80" customFormat="1">
      <c r="A549" s="79">
        <f t="shared" si="64"/>
        <v>54148</v>
      </c>
      <c r="B549" s="79">
        <f t="shared" si="63"/>
        <v>54512</v>
      </c>
      <c r="C549" s="88">
        <f t="shared" si="67"/>
        <v>0.26</v>
      </c>
      <c r="D549" s="88">
        <f t="shared" si="67"/>
        <v>0.27900000000000003</v>
      </c>
      <c r="E549" s="88">
        <f t="shared" si="67"/>
        <v>6.0999999999999999E-2</v>
      </c>
      <c r="F549" s="88">
        <f t="shared" si="67"/>
        <v>2.5999999999999999E-2</v>
      </c>
      <c r="G549" s="89">
        <v>0.26</v>
      </c>
      <c r="H549" s="89">
        <v>0.27900000000000003</v>
      </c>
      <c r="I549" s="89">
        <v>6.0999999999999999E-2</v>
      </c>
      <c r="J549" s="89">
        <v>2.5999999999999999E-2</v>
      </c>
      <c r="K549" s="78">
        <f>((5/3)*L542)+((7/3)*L554)</f>
        <v>67813</v>
      </c>
      <c r="L549" s="96"/>
      <c r="M549" s="355">
        <f t="shared" si="60"/>
        <v>0.6</v>
      </c>
      <c r="N549" s="355">
        <v>0.26</v>
      </c>
      <c r="O549" s="355">
        <f t="shared" si="61"/>
        <v>0.61</v>
      </c>
      <c r="P549" s="355">
        <v>0.34620000000000001</v>
      </c>
      <c r="Q549" s="355">
        <v>0.69640000000000002</v>
      </c>
      <c r="R549" s="355">
        <v>0.6</v>
      </c>
      <c r="S549" s="355">
        <v>0.61</v>
      </c>
    </row>
    <row r="550" spans="1:19" s="80" customFormat="1">
      <c r="A550" s="79">
        <f t="shared" si="64"/>
        <v>54178</v>
      </c>
      <c r="B550" s="79">
        <f t="shared" si="63"/>
        <v>54542</v>
      </c>
      <c r="C550" s="88">
        <f t="shared" si="67"/>
        <v>0.26</v>
      </c>
      <c r="D550" s="88">
        <f t="shared" si="67"/>
        <v>0.27900000000000003</v>
      </c>
      <c r="E550" s="88">
        <f t="shared" si="67"/>
        <v>6.0999999999999999E-2</v>
      </c>
      <c r="F550" s="88">
        <f t="shared" si="67"/>
        <v>2.5999999999999999E-2</v>
      </c>
      <c r="G550" s="89">
        <v>0.26</v>
      </c>
      <c r="H550" s="89">
        <v>0.27900000000000003</v>
      </c>
      <c r="I550" s="89">
        <v>6.0999999999999999E-2</v>
      </c>
      <c r="J550" s="89">
        <v>2.5999999999999999E-2</v>
      </c>
      <c r="K550" s="78">
        <f>((4/3)*L542)+((8/3)*L554)</f>
        <v>68087</v>
      </c>
      <c r="L550" s="96"/>
      <c r="M550" s="355">
        <f t="shared" si="60"/>
        <v>0.6</v>
      </c>
      <c r="N550" s="355">
        <v>0.26</v>
      </c>
      <c r="O550" s="355">
        <f t="shared" si="61"/>
        <v>0.61</v>
      </c>
      <c r="P550" s="355">
        <v>0.34620000000000001</v>
      </c>
      <c r="Q550" s="355">
        <v>0.69640000000000002</v>
      </c>
      <c r="R550" s="355">
        <v>0.6</v>
      </c>
      <c r="S550" s="355">
        <v>0.61</v>
      </c>
    </row>
    <row r="551" spans="1:19" s="80" customFormat="1">
      <c r="A551" s="79">
        <f t="shared" si="64"/>
        <v>54209</v>
      </c>
      <c r="B551" s="79">
        <f t="shared" si="63"/>
        <v>54573</v>
      </c>
      <c r="C551" s="88">
        <f t="shared" si="67"/>
        <v>0.26</v>
      </c>
      <c r="D551" s="88">
        <f t="shared" si="67"/>
        <v>0.27900000000000003</v>
      </c>
      <c r="E551" s="88">
        <f t="shared" si="67"/>
        <v>6.0999999999999999E-2</v>
      </c>
      <c r="F551" s="88">
        <f t="shared" si="67"/>
        <v>2.5999999999999999E-2</v>
      </c>
      <c r="G551" s="89">
        <v>0.26</v>
      </c>
      <c r="H551" s="89">
        <v>0.27900000000000003</v>
      </c>
      <c r="I551" s="89">
        <v>6.0999999999999999E-2</v>
      </c>
      <c r="J551" s="89">
        <v>2.5999999999999999E-2</v>
      </c>
      <c r="K551" s="78">
        <f>((3/3)*L542)+((9/3)*L554)</f>
        <v>68362</v>
      </c>
      <c r="L551" s="96"/>
      <c r="M551" s="355">
        <f t="shared" si="60"/>
        <v>0.6</v>
      </c>
      <c r="N551" s="355">
        <v>0.26</v>
      </c>
      <c r="O551" s="355">
        <f t="shared" si="61"/>
        <v>0.61</v>
      </c>
      <c r="P551" s="355">
        <v>0.34620000000000001</v>
      </c>
      <c r="Q551" s="355">
        <v>0.69640000000000002</v>
      </c>
      <c r="R551" s="355">
        <v>0.6</v>
      </c>
      <c r="S551" s="355">
        <v>0.61</v>
      </c>
    </row>
    <row r="552" spans="1:19" s="80" customFormat="1">
      <c r="A552" s="79">
        <f t="shared" si="64"/>
        <v>54239</v>
      </c>
      <c r="B552" s="79">
        <f t="shared" si="63"/>
        <v>54603</v>
      </c>
      <c r="C552" s="88">
        <f t="shared" si="67"/>
        <v>0.26</v>
      </c>
      <c r="D552" s="88">
        <f t="shared" si="67"/>
        <v>0.27900000000000003</v>
      </c>
      <c r="E552" s="88">
        <f t="shared" si="67"/>
        <v>6.0999999999999999E-2</v>
      </c>
      <c r="F552" s="88">
        <f t="shared" si="67"/>
        <v>2.5999999999999999E-2</v>
      </c>
      <c r="G552" s="89">
        <v>0.26</v>
      </c>
      <c r="H552" s="89">
        <v>0.27900000000000003</v>
      </c>
      <c r="I552" s="89">
        <v>6.0999999999999999E-2</v>
      </c>
      <c r="J552" s="89">
        <v>2.5999999999999999E-2</v>
      </c>
      <c r="K552" s="78">
        <f>((2/3)*L542)+((10/3)*L554)</f>
        <v>68636</v>
      </c>
      <c r="L552" s="96"/>
      <c r="M552" s="355">
        <f t="shared" si="60"/>
        <v>0.6</v>
      </c>
      <c r="N552" s="355">
        <v>0.26</v>
      </c>
      <c r="O552" s="355">
        <f t="shared" si="61"/>
        <v>0.61</v>
      </c>
      <c r="P552" s="355">
        <v>0.34620000000000001</v>
      </c>
      <c r="Q552" s="355">
        <v>0.69640000000000002</v>
      </c>
      <c r="R552" s="355">
        <v>0.6</v>
      </c>
      <c r="S552" s="355">
        <v>0.61</v>
      </c>
    </row>
    <row r="553" spans="1:19" s="80" customFormat="1">
      <c r="A553" s="79">
        <f t="shared" si="64"/>
        <v>54270</v>
      </c>
      <c r="B553" s="79">
        <f t="shared" si="63"/>
        <v>54634</v>
      </c>
      <c r="C553" s="88">
        <f t="shared" si="67"/>
        <v>0.26</v>
      </c>
      <c r="D553" s="88">
        <f t="shared" si="67"/>
        <v>0.27900000000000003</v>
      </c>
      <c r="E553" s="88">
        <f t="shared" si="67"/>
        <v>6.0999999999999999E-2</v>
      </c>
      <c r="F553" s="88">
        <f t="shared" si="67"/>
        <v>2.5999999999999999E-2</v>
      </c>
      <c r="G553" s="89">
        <v>0.26</v>
      </c>
      <c r="H553" s="89">
        <v>0.27900000000000003</v>
      </c>
      <c r="I553" s="89">
        <v>6.0999999999999999E-2</v>
      </c>
      <c r="J553" s="89">
        <v>2.5999999999999999E-2</v>
      </c>
      <c r="K553" s="78">
        <f>((1/3)*L542)+((11/3)*L554)</f>
        <v>68911</v>
      </c>
      <c r="L553" s="96"/>
      <c r="M553" s="355">
        <f t="shared" si="60"/>
        <v>0.6</v>
      </c>
      <c r="N553" s="355">
        <v>0.26</v>
      </c>
      <c r="O553" s="355">
        <f t="shared" si="61"/>
        <v>0.61</v>
      </c>
      <c r="P553" s="355">
        <v>0.34620000000000001</v>
      </c>
      <c r="Q553" s="355">
        <v>0.69640000000000002</v>
      </c>
      <c r="R553" s="355">
        <v>0.6</v>
      </c>
      <c r="S553" s="355">
        <v>0.61</v>
      </c>
    </row>
    <row r="554" spans="1:19">
      <c r="A554" s="19">
        <f t="shared" si="64"/>
        <v>54301</v>
      </c>
      <c r="B554" s="19">
        <f t="shared" si="63"/>
        <v>54665</v>
      </c>
      <c r="C554" s="86">
        <f t="shared" si="67"/>
        <v>0.26</v>
      </c>
      <c r="D554" s="86">
        <f t="shared" si="67"/>
        <v>0.27900000000000003</v>
      </c>
      <c r="E554" s="86">
        <f t="shared" si="67"/>
        <v>6.0999999999999999E-2</v>
      </c>
      <c r="F554" s="86">
        <f t="shared" si="67"/>
        <v>2.5999999999999999E-2</v>
      </c>
      <c r="G554" s="87">
        <v>0.26</v>
      </c>
      <c r="H554" s="87">
        <v>0.27900000000000003</v>
      </c>
      <c r="I554" s="87">
        <v>6.0999999999999999E-2</v>
      </c>
      <c r="J554" s="87">
        <v>2.5999999999999999E-2</v>
      </c>
      <c r="K554" s="25">
        <f>(L554*4)</f>
        <v>69185</v>
      </c>
      <c r="L554" s="95">
        <f>L542*1.05</f>
        <v>17296.37</v>
      </c>
      <c r="M554" s="82">
        <f t="shared" si="60"/>
        <v>0.6</v>
      </c>
      <c r="N554" s="82">
        <v>0.26</v>
      </c>
      <c r="O554" s="82">
        <f t="shared" si="61"/>
        <v>0.61</v>
      </c>
      <c r="P554" s="82">
        <v>0.34620000000000001</v>
      </c>
      <c r="Q554" s="82">
        <v>0.69640000000000002</v>
      </c>
      <c r="R554" s="82">
        <v>0.6</v>
      </c>
      <c r="S554" s="82">
        <v>0.61</v>
      </c>
    </row>
    <row r="555" spans="1:19">
      <c r="A555" s="19">
        <f t="shared" si="64"/>
        <v>54331</v>
      </c>
      <c r="B555" s="19">
        <f t="shared" si="63"/>
        <v>54695</v>
      </c>
      <c r="C555" s="86">
        <f t="shared" si="67"/>
        <v>0.26</v>
      </c>
      <c r="D555" s="86">
        <f t="shared" si="67"/>
        <v>0.27900000000000003</v>
      </c>
      <c r="E555" s="86">
        <f t="shared" si="67"/>
        <v>6.0999999999999999E-2</v>
      </c>
      <c r="F555" s="86">
        <f t="shared" si="67"/>
        <v>2.5999999999999999E-2</v>
      </c>
      <c r="G555" s="87">
        <v>0.26</v>
      </c>
      <c r="H555" s="87">
        <v>0.27900000000000003</v>
      </c>
      <c r="I555" s="87">
        <v>6.0999999999999999E-2</v>
      </c>
      <c r="J555" s="87">
        <v>2.5999999999999999E-2</v>
      </c>
      <c r="K555" s="25">
        <f>((11/3)*L554)+((1/3)*L566)</f>
        <v>69474</v>
      </c>
      <c r="L555" s="95"/>
      <c r="M555" s="82">
        <f t="shared" si="60"/>
        <v>0.6</v>
      </c>
      <c r="N555" s="82">
        <v>0.26</v>
      </c>
      <c r="O555" s="82">
        <f t="shared" si="61"/>
        <v>0.61</v>
      </c>
      <c r="P555" s="82">
        <v>0.34620000000000001</v>
      </c>
      <c r="Q555" s="82">
        <v>0.69640000000000002</v>
      </c>
      <c r="R555" s="82">
        <v>0.6</v>
      </c>
      <c r="S555" s="82">
        <v>0.61</v>
      </c>
    </row>
    <row r="556" spans="1:19">
      <c r="A556" s="19">
        <f t="shared" si="64"/>
        <v>54362</v>
      </c>
      <c r="B556" s="19">
        <f t="shared" si="63"/>
        <v>54726</v>
      </c>
      <c r="C556" s="86">
        <f t="shared" si="67"/>
        <v>0.26</v>
      </c>
      <c r="D556" s="86">
        <f t="shared" si="67"/>
        <v>0.27900000000000003</v>
      </c>
      <c r="E556" s="86">
        <f t="shared" si="67"/>
        <v>6.0999999999999999E-2</v>
      </c>
      <c r="F556" s="86">
        <f t="shared" si="67"/>
        <v>2.5999999999999999E-2</v>
      </c>
      <c r="G556" s="87">
        <v>0.26</v>
      </c>
      <c r="H556" s="87">
        <v>0.27900000000000003</v>
      </c>
      <c r="I556" s="87">
        <v>6.0999999999999999E-2</v>
      </c>
      <c r="J556" s="87">
        <v>2.5999999999999999E-2</v>
      </c>
      <c r="K556" s="25">
        <f>((10/3)*L554)+((2/3)*L566)</f>
        <v>69762</v>
      </c>
      <c r="L556" s="95"/>
      <c r="M556" s="82">
        <f t="shared" si="60"/>
        <v>0.6</v>
      </c>
      <c r="N556" s="82">
        <v>0.26</v>
      </c>
      <c r="O556" s="82">
        <f t="shared" si="61"/>
        <v>0.61</v>
      </c>
      <c r="P556" s="82">
        <v>0.34620000000000001</v>
      </c>
      <c r="Q556" s="82">
        <v>0.69640000000000002</v>
      </c>
      <c r="R556" s="82">
        <v>0.6</v>
      </c>
      <c r="S556" s="82">
        <v>0.61</v>
      </c>
    </row>
    <row r="557" spans="1:19">
      <c r="A557" s="19">
        <f t="shared" si="64"/>
        <v>54392</v>
      </c>
      <c r="B557" s="19">
        <f t="shared" si="63"/>
        <v>54756</v>
      </c>
      <c r="C557" s="86">
        <f t="shared" si="67"/>
        <v>0.26</v>
      </c>
      <c r="D557" s="86">
        <f t="shared" si="67"/>
        <v>0.27900000000000003</v>
      </c>
      <c r="E557" s="86">
        <f t="shared" si="67"/>
        <v>6.0999999999999999E-2</v>
      </c>
      <c r="F557" s="86">
        <f t="shared" si="67"/>
        <v>2.5999999999999999E-2</v>
      </c>
      <c r="G557" s="87">
        <v>0.26</v>
      </c>
      <c r="H557" s="87">
        <v>0.27900000000000003</v>
      </c>
      <c r="I557" s="87">
        <v>6.0999999999999999E-2</v>
      </c>
      <c r="J557" s="87">
        <v>2.5999999999999999E-2</v>
      </c>
      <c r="K557" s="25">
        <f>((9/3)*L554)+((3/3)*L566)</f>
        <v>70050</v>
      </c>
      <c r="L557" s="95"/>
      <c r="M557" s="82">
        <f t="shared" si="60"/>
        <v>0.6</v>
      </c>
      <c r="N557" s="82">
        <v>0.26</v>
      </c>
      <c r="O557" s="82">
        <f t="shared" si="61"/>
        <v>0.61</v>
      </c>
      <c r="P557" s="82">
        <v>0.34620000000000001</v>
      </c>
      <c r="Q557" s="82">
        <v>0.69640000000000002</v>
      </c>
      <c r="R557" s="82">
        <v>0.6</v>
      </c>
      <c r="S557" s="82">
        <v>0.61</v>
      </c>
    </row>
    <row r="558" spans="1:19">
      <c r="A558" s="19">
        <f t="shared" si="64"/>
        <v>54423</v>
      </c>
      <c r="B558" s="19">
        <f t="shared" si="63"/>
        <v>54787</v>
      </c>
      <c r="C558" s="86">
        <f t="shared" si="67"/>
        <v>0.26</v>
      </c>
      <c r="D558" s="86">
        <f t="shared" si="67"/>
        <v>0.27900000000000003</v>
      </c>
      <c r="E558" s="86">
        <f t="shared" si="67"/>
        <v>6.0999999999999999E-2</v>
      </c>
      <c r="F558" s="86">
        <f t="shared" si="67"/>
        <v>2.5999999999999999E-2</v>
      </c>
      <c r="G558" s="87">
        <v>0.26</v>
      </c>
      <c r="H558" s="87">
        <v>0.27900000000000003</v>
      </c>
      <c r="I558" s="87">
        <v>6.0999999999999999E-2</v>
      </c>
      <c r="J558" s="87">
        <v>2.5999999999999999E-2</v>
      </c>
      <c r="K558" s="25">
        <f>((8/3)*L554)+((4/3)*L566)</f>
        <v>70339</v>
      </c>
      <c r="L558" s="95"/>
      <c r="M558" s="82">
        <f t="shared" si="60"/>
        <v>0.6</v>
      </c>
      <c r="N558" s="82">
        <v>0.26</v>
      </c>
      <c r="O558" s="82">
        <f t="shared" si="61"/>
        <v>0.61</v>
      </c>
      <c r="P558" s="82">
        <v>0.34620000000000001</v>
      </c>
      <c r="Q558" s="82">
        <v>0.69640000000000002</v>
      </c>
      <c r="R558" s="82">
        <v>0.6</v>
      </c>
      <c r="S558" s="82">
        <v>0.61</v>
      </c>
    </row>
    <row r="559" spans="1:19">
      <c r="A559" s="19">
        <f t="shared" si="64"/>
        <v>54454</v>
      </c>
      <c r="B559" s="19">
        <f t="shared" si="63"/>
        <v>54818</v>
      </c>
      <c r="C559" s="86">
        <f t="shared" si="67"/>
        <v>0.26</v>
      </c>
      <c r="D559" s="86">
        <f t="shared" si="67"/>
        <v>0.27900000000000003</v>
      </c>
      <c r="E559" s="86">
        <f t="shared" si="67"/>
        <v>6.0999999999999999E-2</v>
      </c>
      <c r="F559" s="86">
        <f t="shared" si="67"/>
        <v>2.5999999999999999E-2</v>
      </c>
      <c r="G559" s="87">
        <v>0.26</v>
      </c>
      <c r="H559" s="87">
        <v>0.27900000000000003</v>
      </c>
      <c r="I559" s="87">
        <v>6.0999999999999999E-2</v>
      </c>
      <c r="J559" s="87">
        <v>2.5999999999999999E-2</v>
      </c>
      <c r="K559" s="25">
        <f>((7/3)*L554)+((5/3)*L566)</f>
        <v>70627</v>
      </c>
      <c r="L559" s="95"/>
      <c r="M559" s="82">
        <f t="shared" ref="M559:M622" si="68">AVERAGE(R559:R570)</f>
        <v>0.6</v>
      </c>
      <c r="N559" s="82">
        <v>0.26</v>
      </c>
      <c r="O559" s="82">
        <f t="shared" ref="O559:O622" si="69">AVERAGE(S559:S570)</f>
        <v>0.61</v>
      </c>
      <c r="P559" s="82">
        <v>0.34620000000000001</v>
      </c>
      <c r="Q559" s="82">
        <v>0.69640000000000002</v>
      </c>
      <c r="R559" s="82">
        <v>0.6</v>
      </c>
      <c r="S559" s="82">
        <v>0.61</v>
      </c>
    </row>
    <row r="560" spans="1:19">
      <c r="A560" s="19">
        <f t="shared" si="64"/>
        <v>54482</v>
      </c>
      <c r="B560" s="19">
        <f t="shared" si="63"/>
        <v>54846</v>
      </c>
      <c r="C560" s="86">
        <f t="shared" si="67"/>
        <v>0.26</v>
      </c>
      <c r="D560" s="86">
        <f t="shared" si="67"/>
        <v>0.27900000000000003</v>
      </c>
      <c r="E560" s="86">
        <f t="shared" si="67"/>
        <v>6.0999999999999999E-2</v>
      </c>
      <c r="F560" s="86">
        <f t="shared" si="67"/>
        <v>2.5999999999999999E-2</v>
      </c>
      <c r="G560" s="87">
        <v>0.26</v>
      </c>
      <c r="H560" s="87">
        <v>0.27900000000000003</v>
      </c>
      <c r="I560" s="87">
        <v>6.0999999999999999E-2</v>
      </c>
      <c r="J560" s="87">
        <v>2.5999999999999999E-2</v>
      </c>
      <c r="K560" s="25">
        <f>((6/3)*L554)+((6/3)*L566)</f>
        <v>70915</v>
      </c>
      <c r="L560" s="95"/>
      <c r="M560" s="82">
        <f t="shared" si="68"/>
        <v>0.6</v>
      </c>
      <c r="N560" s="82">
        <v>0.26</v>
      </c>
      <c r="O560" s="82">
        <f t="shared" si="69"/>
        <v>0.61</v>
      </c>
      <c r="P560" s="82">
        <v>0.34620000000000001</v>
      </c>
      <c r="Q560" s="82">
        <v>0.69640000000000002</v>
      </c>
      <c r="R560" s="82">
        <v>0.6</v>
      </c>
      <c r="S560" s="82">
        <v>0.61</v>
      </c>
    </row>
    <row r="561" spans="1:19">
      <c r="A561" s="19">
        <f t="shared" si="64"/>
        <v>54513</v>
      </c>
      <c r="B561" s="19">
        <f t="shared" si="63"/>
        <v>54877</v>
      </c>
      <c r="C561" s="86">
        <f t="shared" si="67"/>
        <v>0.26</v>
      </c>
      <c r="D561" s="86">
        <f t="shared" si="67"/>
        <v>0.27900000000000003</v>
      </c>
      <c r="E561" s="86">
        <f t="shared" si="67"/>
        <v>6.0999999999999999E-2</v>
      </c>
      <c r="F561" s="86">
        <f t="shared" si="67"/>
        <v>2.5999999999999999E-2</v>
      </c>
      <c r="G561" s="87">
        <v>0.26</v>
      </c>
      <c r="H561" s="87">
        <v>0.27900000000000003</v>
      </c>
      <c r="I561" s="87">
        <v>6.0999999999999999E-2</v>
      </c>
      <c r="J561" s="87">
        <v>2.5999999999999999E-2</v>
      </c>
      <c r="K561" s="25">
        <f>((5/3)*L554)+((7/3)*L566)</f>
        <v>71203</v>
      </c>
      <c r="L561" s="95"/>
      <c r="M561" s="82">
        <f t="shared" si="68"/>
        <v>0.6</v>
      </c>
      <c r="N561" s="82">
        <v>0.26</v>
      </c>
      <c r="O561" s="82">
        <f t="shared" si="69"/>
        <v>0.61</v>
      </c>
      <c r="P561" s="82">
        <v>0.34620000000000001</v>
      </c>
      <c r="Q561" s="82">
        <v>0.69640000000000002</v>
      </c>
      <c r="R561" s="82">
        <v>0.6</v>
      </c>
      <c r="S561" s="82">
        <v>0.61</v>
      </c>
    </row>
    <row r="562" spans="1:19">
      <c r="A562" s="19">
        <f t="shared" si="64"/>
        <v>54543</v>
      </c>
      <c r="B562" s="19">
        <f t="shared" si="63"/>
        <v>54907</v>
      </c>
      <c r="C562" s="86">
        <f t="shared" si="67"/>
        <v>0.26</v>
      </c>
      <c r="D562" s="86">
        <f t="shared" si="67"/>
        <v>0.27900000000000003</v>
      </c>
      <c r="E562" s="86">
        <f t="shared" si="67"/>
        <v>6.0999999999999999E-2</v>
      </c>
      <c r="F562" s="86">
        <f t="shared" si="67"/>
        <v>2.5999999999999999E-2</v>
      </c>
      <c r="G562" s="87">
        <v>0.26</v>
      </c>
      <c r="H562" s="87">
        <v>0.27900000000000003</v>
      </c>
      <c r="I562" s="87">
        <v>6.0999999999999999E-2</v>
      </c>
      <c r="J562" s="87">
        <v>2.5999999999999999E-2</v>
      </c>
      <c r="K562" s="25">
        <f>((4/3)*L554)+((8/3)*L566)</f>
        <v>71492</v>
      </c>
      <c r="L562" s="95"/>
      <c r="M562" s="82">
        <f t="shared" si="68"/>
        <v>0.6</v>
      </c>
      <c r="N562" s="82">
        <v>0.26</v>
      </c>
      <c r="O562" s="82">
        <f t="shared" si="69"/>
        <v>0.61</v>
      </c>
      <c r="P562" s="82">
        <v>0.34620000000000001</v>
      </c>
      <c r="Q562" s="82">
        <v>0.69640000000000002</v>
      </c>
      <c r="R562" s="82">
        <v>0.6</v>
      </c>
      <c r="S562" s="82">
        <v>0.61</v>
      </c>
    </row>
    <row r="563" spans="1:19">
      <c r="A563" s="19">
        <f t="shared" si="64"/>
        <v>54574</v>
      </c>
      <c r="B563" s="19">
        <f t="shared" si="63"/>
        <v>54938</v>
      </c>
      <c r="C563" s="86">
        <f t="shared" ref="C563:F578" si="70">AVERAGE(G563:G574)</f>
        <v>0.26</v>
      </c>
      <c r="D563" s="86">
        <f t="shared" si="70"/>
        <v>0.27900000000000003</v>
      </c>
      <c r="E563" s="86">
        <f t="shared" si="70"/>
        <v>6.0999999999999999E-2</v>
      </c>
      <c r="F563" s="86">
        <f t="shared" si="70"/>
        <v>2.5999999999999999E-2</v>
      </c>
      <c r="G563" s="87">
        <v>0.26</v>
      </c>
      <c r="H563" s="87">
        <v>0.27900000000000003</v>
      </c>
      <c r="I563" s="87">
        <v>6.0999999999999999E-2</v>
      </c>
      <c r="J563" s="87">
        <v>2.5999999999999999E-2</v>
      </c>
      <c r="K563" s="25">
        <f>((3/3)*L554)+((9/3)*L566)</f>
        <v>71780</v>
      </c>
      <c r="L563" s="95"/>
      <c r="M563" s="82">
        <f t="shared" si="68"/>
        <v>0.6</v>
      </c>
      <c r="N563" s="82">
        <v>0.26</v>
      </c>
      <c r="O563" s="82">
        <f t="shared" si="69"/>
        <v>0.61</v>
      </c>
      <c r="P563" s="82">
        <v>0.34620000000000001</v>
      </c>
      <c r="Q563" s="82">
        <v>0.69640000000000002</v>
      </c>
      <c r="R563" s="82">
        <v>0.6</v>
      </c>
      <c r="S563" s="82">
        <v>0.61</v>
      </c>
    </row>
    <row r="564" spans="1:19">
      <c r="A564" s="19">
        <f t="shared" si="64"/>
        <v>54604</v>
      </c>
      <c r="B564" s="19">
        <f t="shared" si="63"/>
        <v>54968</v>
      </c>
      <c r="C564" s="86">
        <f t="shared" si="70"/>
        <v>0.26</v>
      </c>
      <c r="D564" s="86">
        <f t="shared" si="70"/>
        <v>0.27900000000000003</v>
      </c>
      <c r="E564" s="86">
        <f t="shared" si="70"/>
        <v>6.0999999999999999E-2</v>
      </c>
      <c r="F564" s="86">
        <f t="shared" si="70"/>
        <v>2.5999999999999999E-2</v>
      </c>
      <c r="G564" s="87">
        <v>0.26</v>
      </c>
      <c r="H564" s="87">
        <v>0.27900000000000003</v>
      </c>
      <c r="I564" s="87">
        <v>6.0999999999999999E-2</v>
      </c>
      <c r="J564" s="87">
        <v>2.5999999999999999E-2</v>
      </c>
      <c r="K564" s="25">
        <f>((2/3)*L554)+((10/3)*L566)</f>
        <v>72068</v>
      </c>
      <c r="L564" s="95"/>
      <c r="M564" s="82">
        <f t="shared" si="68"/>
        <v>0.6</v>
      </c>
      <c r="N564" s="82">
        <v>0.26</v>
      </c>
      <c r="O564" s="82">
        <f t="shared" si="69"/>
        <v>0.61</v>
      </c>
      <c r="P564" s="82">
        <v>0.34620000000000001</v>
      </c>
      <c r="Q564" s="82">
        <v>0.69640000000000002</v>
      </c>
      <c r="R564" s="82">
        <v>0.6</v>
      </c>
      <c r="S564" s="82">
        <v>0.61</v>
      </c>
    </row>
    <row r="565" spans="1:19">
      <c r="A565" s="19">
        <f t="shared" si="64"/>
        <v>54635</v>
      </c>
      <c r="B565" s="19">
        <f t="shared" si="63"/>
        <v>54999</v>
      </c>
      <c r="C565" s="83">
        <f t="shared" si="70"/>
        <v>0.26</v>
      </c>
      <c r="D565" s="83">
        <f t="shared" si="70"/>
        <v>0.27900000000000003</v>
      </c>
      <c r="E565" s="83">
        <f t="shared" si="70"/>
        <v>6.0999999999999999E-2</v>
      </c>
      <c r="F565" s="83">
        <f t="shared" si="70"/>
        <v>2.5999999999999999E-2</v>
      </c>
      <c r="G565" s="87">
        <v>0.26</v>
      </c>
      <c r="H565" s="87">
        <v>0.27900000000000003</v>
      </c>
      <c r="I565" s="87">
        <v>6.0999999999999999E-2</v>
      </c>
      <c r="J565" s="87">
        <v>2.5999999999999999E-2</v>
      </c>
      <c r="K565" s="25">
        <f>((1/3)*L554)+((11/3)*L566)</f>
        <v>72356</v>
      </c>
      <c r="L565" s="95"/>
      <c r="M565" s="82">
        <f t="shared" si="68"/>
        <v>0.6</v>
      </c>
      <c r="N565" s="82">
        <v>0.26</v>
      </c>
      <c r="O565" s="82">
        <f t="shared" si="69"/>
        <v>0.61</v>
      </c>
      <c r="P565" s="82">
        <v>0.34620000000000001</v>
      </c>
      <c r="Q565" s="82">
        <v>0.69640000000000002</v>
      </c>
      <c r="R565" s="82">
        <v>0.6</v>
      </c>
      <c r="S565" s="82">
        <v>0.61</v>
      </c>
    </row>
    <row r="566" spans="1:19" s="80" customFormat="1">
      <c r="A566" s="79">
        <f t="shared" si="64"/>
        <v>54666</v>
      </c>
      <c r="B566" s="79">
        <f t="shared" si="63"/>
        <v>55030</v>
      </c>
      <c r="C566" s="88">
        <f t="shared" si="70"/>
        <v>0.26</v>
      </c>
      <c r="D566" s="88">
        <f t="shared" si="70"/>
        <v>0.27900000000000003</v>
      </c>
      <c r="E566" s="88">
        <f t="shared" si="70"/>
        <v>6.0999999999999999E-2</v>
      </c>
      <c r="F566" s="88">
        <f t="shared" si="70"/>
        <v>2.5999999999999999E-2</v>
      </c>
      <c r="G566" s="89">
        <v>0.26</v>
      </c>
      <c r="H566" s="89">
        <v>0.27900000000000003</v>
      </c>
      <c r="I566" s="89">
        <v>6.0999999999999999E-2</v>
      </c>
      <c r="J566" s="89">
        <v>2.5999999999999999E-2</v>
      </c>
      <c r="K566" s="78">
        <f>(L566*4)</f>
        <v>72645</v>
      </c>
      <c r="L566" s="96">
        <f>L554*1.05</f>
        <v>18161.189999999999</v>
      </c>
      <c r="M566" s="355">
        <f t="shared" si="68"/>
        <v>0.6</v>
      </c>
      <c r="N566" s="355">
        <v>0.26</v>
      </c>
      <c r="O566" s="355">
        <f t="shared" si="69"/>
        <v>0.61</v>
      </c>
      <c r="P566" s="355">
        <v>0.34620000000000001</v>
      </c>
      <c r="Q566" s="355">
        <v>0.69640000000000002</v>
      </c>
      <c r="R566" s="355">
        <v>0.6</v>
      </c>
      <c r="S566" s="355">
        <v>0.61</v>
      </c>
    </row>
    <row r="567" spans="1:19" s="80" customFormat="1">
      <c r="A567" s="79">
        <f t="shared" si="64"/>
        <v>54696</v>
      </c>
      <c r="B567" s="79">
        <f t="shared" si="63"/>
        <v>55060</v>
      </c>
      <c r="C567" s="88">
        <f t="shared" si="70"/>
        <v>0.26</v>
      </c>
      <c r="D567" s="88">
        <f t="shared" si="70"/>
        <v>0.27900000000000003</v>
      </c>
      <c r="E567" s="88">
        <f t="shared" si="70"/>
        <v>6.0999999999999999E-2</v>
      </c>
      <c r="F567" s="88">
        <f t="shared" si="70"/>
        <v>2.5999999999999999E-2</v>
      </c>
      <c r="G567" s="89">
        <v>0.26</v>
      </c>
      <c r="H567" s="89">
        <v>0.27900000000000003</v>
      </c>
      <c r="I567" s="89">
        <v>6.0999999999999999E-2</v>
      </c>
      <c r="J567" s="89">
        <v>2.5999999999999999E-2</v>
      </c>
      <c r="K567" s="78">
        <f>((11/3)*L566)+((1/3)*L578)</f>
        <v>72947</v>
      </c>
      <c r="L567" s="96"/>
      <c r="M567" s="355">
        <f t="shared" si="68"/>
        <v>0.6</v>
      </c>
      <c r="N567" s="355">
        <v>0.26</v>
      </c>
      <c r="O567" s="355">
        <f t="shared" si="69"/>
        <v>0.61</v>
      </c>
      <c r="P567" s="355">
        <v>0.34620000000000001</v>
      </c>
      <c r="Q567" s="355">
        <v>0.69640000000000002</v>
      </c>
      <c r="R567" s="355">
        <v>0.6</v>
      </c>
      <c r="S567" s="355">
        <v>0.61</v>
      </c>
    </row>
    <row r="568" spans="1:19" s="80" customFormat="1">
      <c r="A568" s="79">
        <f t="shared" si="64"/>
        <v>54727</v>
      </c>
      <c r="B568" s="79">
        <f t="shared" si="63"/>
        <v>55091</v>
      </c>
      <c r="C568" s="88">
        <f t="shared" si="70"/>
        <v>0.26</v>
      </c>
      <c r="D568" s="88">
        <f t="shared" si="70"/>
        <v>0.27900000000000003</v>
      </c>
      <c r="E568" s="88">
        <f t="shared" si="70"/>
        <v>6.0999999999999999E-2</v>
      </c>
      <c r="F568" s="88">
        <f t="shared" si="70"/>
        <v>2.5999999999999999E-2</v>
      </c>
      <c r="G568" s="89">
        <v>0.26</v>
      </c>
      <c r="H568" s="89">
        <v>0.27900000000000003</v>
      </c>
      <c r="I568" s="89">
        <v>6.0999999999999999E-2</v>
      </c>
      <c r="J568" s="89">
        <v>2.5999999999999999E-2</v>
      </c>
      <c r="K568" s="78">
        <f>((10/3)*L566)+((2/3)*L578)</f>
        <v>73250</v>
      </c>
      <c r="L568" s="96"/>
      <c r="M568" s="355">
        <f t="shared" si="68"/>
        <v>0.6</v>
      </c>
      <c r="N568" s="355">
        <v>0.26</v>
      </c>
      <c r="O568" s="355">
        <f t="shared" si="69"/>
        <v>0.61</v>
      </c>
      <c r="P568" s="355">
        <v>0.34620000000000001</v>
      </c>
      <c r="Q568" s="355">
        <v>0.69640000000000002</v>
      </c>
      <c r="R568" s="355">
        <v>0.6</v>
      </c>
      <c r="S568" s="355">
        <v>0.61</v>
      </c>
    </row>
    <row r="569" spans="1:19" s="80" customFormat="1">
      <c r="A569" s="79">
        <f t="shared" si="64"/>
        <v>54757</v>
      </c>
      <c r="B569" s="79">
        <f t="shared" si="63"/>
        <v>55121</v>
      </c>
      <c r="C569" s="88">
        <f t="shared" si="70"/>
        <v>0.26</v>
      </c>
      <c r="D569" s="88">
        <f t="shared" si="70"/>
        <v>0.27900000000000003</v>
      </c>
      <c r="E569" s="88">
        <f t="shared" si="70"/>
        <v>6.0999999999999999E-2</v>
      </c>
      <c r="F569" s="88">
        <f t="shared" si="70"/>
        <v>2.5999999999999999E-2</v>
      </c>
      <c r="G569" s="89">
        <v>0.26</v>
      </c>
      <c r="H569" s="89">
        <v>0.27900000000000003</v>
      </c>
      <c r="I569" s="89">
        <v>6.0999999999999999E-2</v>
      </c>
      <c r="J569" s="89">
        <v>2.5999999999999999E-2</v>
      </c>
      <c r="K569" s="78">
        <f>((9/3)*L566)+((3/3)*L578)</f>
        <v>73553</v>
      </c>
      <c r="L569" s="96"/>
      <c r="M569" s="355">
        <f t="shared" si="68"/>
        <v>0.6</v>
      </c>
      <c r="N569" s="355">
        <v>0.26</v>
      </c>
      <c r="O569" s="355">
        <f t="shared" si="69"/>
        <v>0.61</v>
      </c>
      <c r="P569" s="355">
        <v>0.34620000000000001</v>
      </c>
      <c r="Q569" s="355">
        <v>0.69640000000000002</v>
      </c>
      <c r="R569" s="355">
        <v>0.6</v>
      </c>
      <c r="S569" s="355">
        <v>0.61</v>
      </c>
    </row>
    <row r="570" spans="1:19" s="80" customFormat="1">
      <c r="A570" s="79">
        <f t="shared" si="64"/>
        <v>54788</v>
      </c>
      <c r="B570" s="79">
        <f t="shared" si="63"/>
        <v>55152</v>
      </c>
      <c r="C570" s="88">
        <f t="shared" si="70"/>
        <v>0.26</v>
      </c>
      <c r="D570" s="88">
        <f t="shared" si="70"/>
        <v>0.27900000000000003</v>
      </c>
      <c r="E570" s="88">
        <f t="shared" si="70"/>
        <v>6.0999999999999999E-2</v>
      </c>
      <c r="F570" s="88">
        <f t="shared" si="70"/>
        <v>2.5999999999999999E-2</v>
      </c>
      <c r="G570" s="89">
        <v>0.26</v>
      </c>
      <c r="H570" s="89">
        <v>0.27900000000000003</v>
      </c>
      <c r="I570" s="89">
        <v>6.0999999999999999E-2</v>
      </c>
      <c r="J570" s="89">
        <v>2.5999999999999999E-2</v>
      </c>
      <c r="K570" s="78">
        <f>((8/3)*L566)+((4/3)*L578)</f>
        <v>73856</v>
      </c>
      <c r="L570" s="96"/>
      <c r="M570" s="355">
        <f t="shared" si="68"/>
        <v>0.6</v>
      </c>
      <c r="N570" s="355">
        <v>0.26</v>
      </c>
      <c r="O570" s="355">
        <f t="shared" si="69"/>
        <v>0.61</v>
      </c>
      <c r="P570" s="355">
        <v>0.34620000000000001</v>
      </c>
      <c r="Q570" s="355">
        <v>0.69640000000000002</v>
      </c>
      <c r="R570" s="355">
        <v>0.6</v>
      </c>
      <c r="S570" s="355">
        <v>0.61</v>
      </c>
    </row>
    <row r="571" spans="1:19" s="80" customFormat="1">
      <c r="A571" s="79">
        <f t="shared" si="64"/>
        <v>54819</v>
      </c>
      <c r="B571" s="79">
        <f t="shared" si="63"/>
        <v>55183</v>
      </c>
      <c r="C571" s="88">
        <f t="shared" si="70"/>
        <v>0.26</v>
      </c>
      <c r="D571" s="88">
        <f t="shared" si="70"/>
        <v>0.27900000000000003</v>
      </c>
      <c r="E571" s="88">
        <f t="shared" si="70"/>
        <v>6.0999999999999999E-2</v>
      </c>
      <c r="F571" s="88">
        <f t="shared" si="70"/>
        <v>2.5999999999999999E-2</v>
      </c>
      <c r="G571" s="89">
        <v>0.26</v>
      </c>
      <c r="H571" s="89">
        <v>0.27900000000000003</v>
      </c>
      <c r="I571" s="89">
        <v>6.0999999999999999E-2</v>
      </c>
      <c r="J571" s="89">
        <v>2.5999999999999999E-2</v>
      </c>
      <c r="K571" s="78">
        <f>((7/3)*L566)+((5/3)*L578)</f>
        <v>74158</v>
      </c>
      <c r="L571" s="96"/>
      <c r="M571" s="355">
        <f t="shared" si="68"/>
        <v>0.6</v>
      </c>
      <c r="N571" s="355">
        <v>0.26</v>
      </c>
      <c r="O571" s="355">
        <f t="shared" si="69"/>
        <v>0.61</v>
      </c>
      <c r="P571" s="355">
        <v>0.34620000000000001</v>
      </c>
      <c r="Q571" s="355">
        <v>0.69640000000000002</v>
      </c>
      <c r="R571" s="355">
        <v>0.6</v>
      </c>
      <c r="S571" s="355">
        <v>0.61</v>
      </c>
    </row>
    <row r="572" spans="1:19" s="80" customFormat="1">
      <c r="A572" s="79">
        <f t="shared" si="64"/>
        <v>54847</v>
      </c>
      <c r="B572" s="79">
        <f t="shared" si="63"/>
        <v>55211</v>
      </c>
      <c r="C572" s="88">
        <f t="shared" si="70"/>
        <v>0.26</v>
      </c>
      <c r="D572" s="88">
        <f t="shared" si="70"/>
        <v>0.27900000000000003</v>
      </c>
      <c r="E572" s="88">
        <f t="shared" si="70"/>
        <v>6.0999999999999999E-2</v>
      </c>
      <c r="F572" s="88">
        <f t="shared" si="70"/>
        <v>2.5999999999999999E-2</v>
      </c>
      <c r="G572" s="89">
        <v>0.26</v>
      </c>
      <c r="H572" s="89">
        <v>0.27900000000000003</v>
      </c>
      <c r="I572" s="89">
        <v>6.0999999999999999E-2</v>
      </c>
      <c r="J572" s="89">
        <v>2.5999999999999999E-2</v>
      </c>
      <c r="K572" s="78">
        <f>((6/3)*L566)+((6/3)*L578)</f>
        <v>74461</v>
      </c>
      <c r="L572" s="96"/>
      <c r="M572" s="355">
        <f t="shared" si="68"/>
        <v>0.6</v>
      </c>
      <c r="N572" s="355">
        <v>0.26</v>
      </c>
      <c r="O572" s="355">
        <f t="shared" si="69"/>
        <v>0.61</v>
      </c>
      <c r="P572" s="355">
        <v>0.34620000000000001</v>
      </c>
      <c r="Q572" s="355">
        <v>0.69640000000000002</v>
      </c>
      <c r="R572" s="355">
        <v>0.6</v>
      </c>
      <c r="S572" s="355">
        <v>0.61</v>
      </c>
    </row>
    <row r="573" spans="1:19" s="80" customFormat="1">
      <c r="A573" s="79">
        <f t="shared" si="64"/>
        <v>54878</v>
      </c>
      <c r="B573" s="79">
        <f t="shared" si="63"/>
        <v>55242</v>
      </c>
      <c r="C573" s="88">
        <f t="shared" si="70"/>
        <v>0.26</v>
      </c>
      <c r="D573" s="88">
        <f t="shared" si="70"/>
        <v>0.27900000000000003</v>
      </c>
      <c r="E573" s="88">
        <f t="shared" si="70"/>
        <v>6.0999999999999999E-2</v>
      </c>
      <c r="F573" s="88">
        <f t="shared" si="70"/>
        <v>2.5999999999999999E-2</v>
      </c>
      <c r="G573" s="89">
        <v>0.26</v>
      </c>
      <c r="H573" s="89">
        <v>0.27900000000000003</v>
      </c>
      <c r="I573" s="89">
        <v>6.0999999999999999E-2</v>
      </c>
      <c r="J573" s="89">
        <v>2.5999999999999999E-2</v>
      </c>
      <c r="K573" s="78">
        <f>((5/3)*L566)+((7/3)*L578)</f>
        <v>74764</v>
      </c>
      <c r="L573" s="96"/>
      <c r="M573" s="355">
        <f t="shared" si="68"/>
        <v>0.6</v>
      </c>
      <c r="N573" s="355">
        <v>0.26</v>
      </c>
      <c r="O573" s="355">
        <f t="shared" si="69"/>
        <v>0.61</v>
      </c>
      <c r="P573" s="355">
        <v>0.34620000000000001</v>
      </c>
      <c r="Q573" s="355">
        <v>0.69640000000000002</v>
      </c>
      <c r="R573" s="355">
        <v>0.6</v>
      </c>
      <c r="S573" s="355">
        <v>0.61</v>
      </c>
    </row>
    <row r="574" spans="1:19" s="80" customFormat="1">
      <c r="A574" s="79">
        <f t="shared" si="64"/>
        <v>54908</v>
      </c>
      <c r="B574" s="79">
        <f t="shared" si="63"/>
        <v>55272</v>
      </c>
      <c r="C574" s="88">
        <f t="shared" si="70"/>
        <v>0.26</v>
      </c>
      <c r="D574" s="88">
        <f t="shared" si="70"/>
        <v>0.27900000000000003</v>
      </c>
      <c r="E574" s="88">
        <f t="shared" si="70"/>
        <v>6.0999999999999999E-2</v>
      </c>
      <c r="F574" s="88">
        <f t="shared" si="70"/>
        <v>2.5999999999999999E-2</v>
      </c>
      <c r="G574" s="89">
        <v>0.26</v>
      </c>
      <c r="H574" s="89">
        <v>0.27900000000000003</v>
      </c>
      <c r="I574" s="89">
        <v>6.0999999999999999E-2</v>
      </c>
      <c r="J574" s="89">
        <v>2.5999999999999999E-2</v>
      </c>
      <c r="K574" s="78">
        <f>((4/3)*L566)+((8/3)*L578)</f>
        <v>75066</v>
      </c>
      <c r="L574" s="96"/>
      <c r="M574" s="355">
        <f t="shared" si="68"/>
        <v>0.6</v>
      </c>
      <c r="N574" s="355">
        <v>0.26</v>
      </c>
      <c r="O574" s="355">
        <f t="shared" si="69"/>
        <v>0.61</v>
      </c>
      <c r="P574" s="355">
        <v>0.34620000000000001</v>
      </c>
      <c r="Q574" s="355">
        <v>0.69640000000000002</v>
      </c>
      <c r="R574" s="355">
        <v>0.6</v>
      </c>
      <c r="S574" s="355">
        <v>0.61</v>
      </c>
    </row>
    <row r="575" spans="1:19" s="80" customFormat="1">
      <c r="A575" s="79">
        <f t="shared" si="64"/>
        <v>54939</v>
      </c>
      <c r="B575" s="79">
        <f t="shared" si="63"/>
        <v>55303</v>
      </c>
      <c r="C575" s="88">
        <f t="shared" si="70"/>
        <v>0.26</v>
      </c>
      <c r="D575" s="88">
        <f t="shared" si="70"/>
        <v>0.27900000000000003</v>
      </c>
      <c r="E575" s="88">
        <f t="shared" si="70"/>
        <v>6.0999999999999999E-2</v>
      </c>
      <c r="F575" s="88">
        <f t="shared" si="70"/>
        <v>2.5999999999999999E-2</v>
      </c>
      <c r="G575" s="89">
        <v>0.26</v>
      </c>
      <c r="H575" s="89">
        <v>0.27900000000000003</v>
      </c>
      <c r="I575" s="89">
        <v>6.0999999999999999E-2</v>
      </c>
      <c r="J575" s="89">
        <v>2.5999999999999999E-2</v>
      </c>
      <c r="K575" s="78">
        <f>((3/3)*L566)+((9/3)*L578)</f>
        <v>75369</v>
      </c>
      <c r="L575" s="96"/>
      <c r="M575" s="355">
        <f t="shared" si="68"/>
        <v>0.6</v>
      </c>
      <c r="N575" s="355">
        <v>0.26</v>
      </c>
      <c r="O575" s="355">
        <f t="shared" si="69"/>
        <v>0.61</v>
      </c>
      <c r="P575" s="355">
        <v>0.34620000000000001</v>
      </c>
      <c r="Q575" s="355">
        <v>0.69640000000000002</v>
      </c>
      <c r="R575" s="355">
        <v>0.6</v>
      </c>
      <c r="S575" s="355">
        <v>0.61</v>
      </c>
    </row>
    <row r="576" spans="1:19" s="80" customFormat="1">
      <c r="A576" s="79">
        <f t="shared" si="64"/>
        <v>54969</v>
      </c>
      <c r="B576" s="79">
        <f t="shared" si="63"/>
        <v>55333</v>
      </c>
      <c r="C576" s="88">
        <f t="shared" si="70"/>
        <v>0.26</v>
      </c>
      <c r="D576" s="88">
        <f t="shared" si="70"/>
        <v>0.27900000000000003</v>
      </c>
      <c r="E576" s="88">
        <f t="shared" si="70"/>
        <v>6.0999999999999999E-2</v>
      </c>
      <c r="F576" s="88">
        <f t="shared" si="70"/>
        <v>2.5999999999999999E-2</v>
      </c>
      <c r="G576" s="89">
        <v>0.26</v>
      </c>
      <c r="H576" s="89">
        <v>0.27900000000000003</v>
      </c>
      <c r="I576" s="89">
        <v>6.0999999999999999E-2</v>
      </c>
      <c r="J576" s="89">
        <v>2.5999999999999999E-2</v>
      </c>
      <c r="K576" s="78">
        <f>((2/3)*L566)+((10/3)*L578)</f>
        <v>75672</v>
      </c>
      <c r="L576" s="96"/>
      <c r="M576" s="355">
        <f t="shared" si="68"/>
        <v>0.6</v>
      </c>
      <c r="N576" s="355">
        <v>0.26</v>
      </c>
      <c r="O576" s="355">
        <f t="shared" si="69"/>
        <v>0.61</v>
      </c>
      <c r="P576" s="355">
        <v>0.34620000000000001</v>
      </c>
      <c r="Q576" s="355">
        <v>0.69640000000000002</v>
      </c>
      <c r="R576" s="355">
        <v>0.6</v>
      </c>
      <c r="S576" s="355">
        <v>0.61</v>
      </c>
    </row>
    <row r="577" spans="1:19" s="80" customFormat="1">
      <c r="A577" s="79">
        <f t="shared" si="64"/>
        <v>55000</v>
      </c>
      <c r="B577" s="79">
        <f t="shared" si="63"/>
        <v>55364</v>
      </c>
      <c r="C577" s="88">
        <f t="shared" si="70"/>
        <v>0.26</v>
      </c>
      <c r="D577" s="88">
        <f t="shared" si="70"/>
        <v>0.27900000000000003</v>
      </c>
      <c r="E577" s="88">
        <f t="shared" si="70"/>
        <v>6.0999999999999999E-2</v>
      </c>
      <c r="F577" s="88">
        <f t="shared" si="70"/>
        <v>2.5999999999999999E-2</v>
      </c>
      <c r="G577" s="89">
        <v>0.26</v>
      </c>
      <c r="H577" s="89">
        <v>0.27900000000000003</v>
      </c>
      <c r="I577" s="89">
        <v>6.0999999999999999E-2</v>
      </c>
      <c r="J577" s="89">
        <v>2.5999999999999999E-2</v>
      </c>
      <c r="K577" s="78">
        <f>((1/3)*L566)+((11/3)*L578)</f>
        <v>75974</v>
      </c>
      <c r="L577" s="96"/>
      <c r="M577" s="355">
        <f t="shared" si="68"/>
        <v>0.6</v>
      </c>
      <c r="N577" s="355">
        <v>0.26</v>
      </c>
      <c r="O577" s="355">
        <f t="shared" si="69"/>
        <v>0.61</v>
      </c>
      <c r="P577" s="355">
        <v>0.34620000000000001</v>
      </c>
      <c r="Q577" s="355">
        <v>0.69640000000000002</v>
      </c>
      <c r="R577" s="355">
        <v>0.6</v>
      </c>
      <c r="S577" s="355">
        <v>0.61</v>
      </c>
    </row>
    <row r="578" spans="1:19">
      <c r="A578" s="19">
        <f t="shared" si="64"/>
        <v>55031</v>
      </c>
      <c r="B578" s="19">
        <f t="shared" ref="B578:B641" si="71">EDATE(A578,12)-1</f>
        <v>55395</v>
      </c>
      <c r="C578" s="86">
        <f t="shared" si="70"/>
        <v>0.26</v>
      </c>
      <c r="D578" s="86">
        <f t="shared" si="70"/>
        <v>0.27900000000000003</v>
      </c>
      <c r="E578" s="86">
        <f t="shared" si="70"/>
        <v>6.0999999999999999E-2</v>
      </c>
      <c r="F578" s="86">
        <f t="shared" si="70"/>
        <v>2.5999999999999999E-2</v>
      </c>
      <c r="G578" s="87">
        <v>0.26</v>
      </c>
      <c r="H578" s="87">
        <v>0.27900000000000003</v>
      </c>
      <c r="I578" s="87">
        <v>6.0999999999999999E-2</v>
      </c>
      <c r="J578" s="87">
        <v>2.5999999999999999E-2</v>
      </c>
      <c r="K578" s="25">
        <f>(L578*4)</f>
        <v>76277</v>
      </c>
      <c r="L578" s="95">
        <f>L566*1.05</f>
        <v>19069.25</v>
      </c>
      <c r="M578" s="82">
        <f t="shared" si="68"/>
        <v>0.6</v>
      </c>
      <c r="N578" s="82">
        <v>0.26</v>
      </c>
      <c r="O578" s="82">
        <f t="shared" si="69"/>
        <v>0.61</v>
      </c>
      <c r="P578" s="82">
        <v>0.34620000000000001</v>
      </c>
      <c r="Q578" s="82">
        <v>0.69640000000000002</v>
      </c>
      <c r="R578" s="82">
        <v>0.6</v>
      </c>
      <c r="S578" s="82">
        <v>0.61</v>
      </c>
    </row>
    <row r="579" spans="1:19">
      <c r="A579" s="19">
        <f t="shared" ref="A579:A642" si="72">EDATE(A578,1)</f>
        <v>55061</v>
      </c>
      <c r="B579" s="19">
        <f t="shared" si="71"/>
        <v>55425</v>
      </c>
      <c r="C579" s="86">
        <f t="shared" ref="C579:F594" si="73">AVERAGE(G579:G590)</f>
        <v>0.26</v>
      </c>
      <c r="D579" s="86">
        <f t="shared" si="73"/>
        <v>0.27900000000000003</v>
      </c>
      <c r="E579" s="86">
        <f t="shared" si="73"/>
        <v>6.0999999999999999E-2</v>
      </c>
      <c r="F579" s="86">
        <f t="shared" si="73"/>
        <v>2.5999999999999999E-2</v>
      </c>
      <c r="G579" s="87">
        <v>0.26</v>
      </c>
      <c r="H579" s="87">
        <v>0.27900000000000003</v>
      </c>
      <c r="I579" s="87">
        <v>6.0999999999999999E-2</v>
      </c>
      <c r="J579" s="87">
        <v>2.5999999999999999E-2</v>
      </c>
      <c r="K579" s="25">
        <f>((11/3)*L578)+((1/3)*L590)</f>
        <v>76595</v>
      </c>
      <c r="L579" s="95"/>
      <c r="M579" s="82">
        <f t="shared" si="68"/>
        <v>0.6</v>
      </c>
      <c r="N579" s="82">
        <v>0.26</v>
      </c>
      <c r="O579" s="82">
        <f t="shared" si="69"/>
        <v>0.61</v>
      </c>
      <c r="P579" s="82">
        <v>0.34620000000000001</v>
      </c>
      <c r="Q579" s="82">
        <v>0.69640000000000002</v>
      </c>
      <c r="R579" s="82">
        <v>0.6</v>
      </c>
      <c r="S579" s="82">
        <v>0.61</v>
      </c>
    </row>
    <row r="580" spans="1:19">
      <c r="A580" s="19">
        <f t="shared" si="72"/>
        <v>55092</v>
      </c>
      <c r="B580" s="19">
        <f t="shared" si="71"/>
        <v>55456</v>
      </c>
      <c r="C580" s="86">
        <f t="shared" si="73"/>
        <v>0.26</v>
      </c>
      <c r="D580" s="86">
        <f t="shared" si="73"/>
        <v>0.27900000000000003</v>
      </c>
      <c r="E580" s="86">
        <f t="shared" si="73"/>
        <v>6.0999999999999999E-2</v>
      </c>
      <c r="F580" s="86">
        <f t="shared" si="73"/>
        <v>2.5999999999999999E-2</v>
      </c>
      <c r="G580" s="87">
        <v>0.26</v>
      </c>
      <c r="H580" s="87">
        <v>0.27900000000000003</v>
      </c>
      <c r="I580" s="87">
        <v>6.0999999999999999E-2</v>
      </c>
      <c r="J580" s="87">
        <v>2.5999999999999999E-2</v>
      </c>
      <c r="K580" s="25">
        <f>((10/3)*L578)+((2/3)*L590)</f>
        <v>76913</v>
      </c>
      <c r="L580" s="95"/>
      <c r="M580" s="82">
        <f t="shared" si="68"/>
        <v>0.6</v>
      </c>
      <c r="N580" s="82">
        <v>0.26</v>
      </c>
      <c r="O580" s="82">
        <f t="shared" si="69"/>
        <v>0.61</v>
      </c>
      <c r="P580" s="82">
        <v>0.34620000000000001</v>
      </c>
      <c r="Q580" s="82">
        <v>0.69640000000000002</v>
      </c>
      <c r="R580" s="82">
        <v>0.6</v>
      </c>
      <c r="S580" s="82">
        <v>0.61</v>
      </c>
    </row>
    <row r="581" spans="1:19">
      <c r="A581" s="19">
        <f t="shared" si="72"/>
        <v>55122</v>
      </c>
      <c r="B581" s="19">
        <f t="shared" si="71"/>
        <v>55486</v>
      </c>
      <c r="C581" s="86">
        <f t="shared" si="73"/>
        <v>0.26</v>
      </c>
      <c r="D581" s="86">
        <f t="shared" si="73"/>
        <v>0.27900000000000003</v>
      </c>
      <c r="E581" s="86">
        <f t="shared" si="73"/>
        <v>6.0999999999999999E-2</v>
      </c>
      <c r="F581" s="86">
        <f t="shared" si="73"/>
        <v>2.5999999999999999E-2</v>
      </c>
      <c r="G581" s="87">
        <v>0.26</v>
      </c>
      <c r="H581" s="87">
        <v>0.27900000000000003</v>
      </c>
      <c r="I581" s="87">
        <v>6.0999999999999999E-2</v>
      </c>
      <c r="J581" s="87">
        <v>2.5999999999999999E-2</v>
      </c>
      <c r="K581" s="25">
        <f>((9/3)*L578)+((3/3)*L590)</f>
        <v>77230</v>
      </c>
      <c r="L581" s="95"/>
      <c r="M581" s="82">
        <f t="shared" si="68"/>
        <v>0.6</v>
      </c>
      <c r="N581" s="82">
        <v>0.26</v>
      </c>
      <c r="O581" s="82">
        <f t="shared" si="69"/>
        <v>0.61</v>
      </c>
      <c r="P581" s="82">
        <v>0.34620000000000001</v>
      </c>
      <c r="Q581" s="82">
        <v>0.69640000000000002</v>
      </c>
      <c r="R581" s="82">
        <v>0.6</v>
      </c>
      <c r="S581" s="82">
        <v>0.61</v>
      </c>
    </row>
    <row r="582" spans="1:19">
      <c r="A582" s="19">
        <f t="shared" si="72"/>
        <v>55153</v>
      </c>
      <c r="B582" s="19">
        <f t="shared" si="71"/>
        <v>55517</v>
      </c>
      <c r="C582" s="86">
        <f t="shared" si="73"/>
        <v>0.26</v>
      </c>
      <c r="D582" s="86">
        <f t="shared" si="73"/>
        <v>0.27900000000000003</v>
      </c>
      <c r="E582" s="86">
        <f t="shared" si="73"/>
        <v>6.0999999999999999E-2</v>
      </c>
      <c r="F582" s="86">
        <f t="shared" si="73"/>
        <v>2.5999999999999999E-2</v>
      </c>
      <c r="G582" s="87">
        <v>0.26</v>
      </c>
      <c r="H582" s="87">
        <v>0.27900000000000003</v>
      </c>
      <c r="I582" s="87">
        <v>6.0999999999999999E-2</v>
      </c>
      <c r="J582" s="87">
        <v>2.5999999999999999E-2</v>
      </c>
      <c r="K582" s="25">
        <f>((8/3)*L578)+((4/3)*L590)</f>
        <v>77548</v>
      </c>
      <c r="L582" s="95"/>
      <c r="M582" s="82">
        <f t="shared" si="68"/>
        <v>0.6</v>
      </c>
      <c r="N582" s="82">
        <v>0.26</v>
      </c>
      <c r="O582" s="82">
        <f t="shared" si="69"/>
        <v>0.61</v>
      </c>
      <c r="P582" s="82">
        <v>0.34620000000000001</v>
      </c>
      <c r="Q582" s="82">
        <v>0.69640000000000002</v>
      </c>
      <c r="R582" s="82">
        <v>0.6</v>
      </c>
      <c r="S582" s="82">
        <v>0.61</v>
      </c>
    </row>
    <row r="583" spans="1:19">
      <c r="A583" s="19">
        <f t="shared" si="72"/>
        <v>55184</v>
      </c>
      <c r="B583" s="19">
        <f t="shared" si="71"/>
        <v>55548</v>
      </c>
      <c r="C583" s="86">
        <f t="shared" si="73"/>
        <v>0.26</v>
      </c>
      <c r="D583" s="86">
        <f t="shared" si="73"/>
        <v>0.27900000000000003</v>
      </c>
      <c r="E583" s="86">
        <f t="shared" si="73"/>
        <v>6.0999999999999999E-2</v>
      </c>
      <c r="F583" s="86">
        <f t="shared" si="73"/>
        <v>2.5999999999999999E-2</v>
      </c>
      <c r="G583" s="87">
        <v>0.26</v>
      </c>
      <c r="H583" s="87">
        <v>0.27900000000000003</v>
      </c>
      <c r="I583" s="87">
        <v>6.0999999999999999E-2</v>
      </c>
      <c r="J583" s="87">
        <v>2.5999999999999999E-2</v>
      </c>
      <c r="K583" s="25">
        <f>((7/3)*L578)+((5/3)*L590)</f>
        <v>77866</v>
      </c>
      <c r="L583" s="95"/>
      <c r="M583" s="82">
        <f t="shared" si="68"/>
        <v>0.6</v>
      </c>
      <c r="N583" s="82">
        <v>0.26</v>
      </c>
      <c r="O583" s="82">
        <f t="shared" si="69"/>
        <v>0.61</v>
      </c>
      <c r="P583" s="82">
        <v>0.34620000000000001</v>
      </c>
      <c r="Q583" s="82">
        <v>0.69640000000000002</v>
      </c>
      <c r="R583" s="82">
        <v>0.6</v>
      </c>
      <c r="S583" s="82">
        <v>0.61</v>
      </c>
    </row>
    <row r="584" spans="1:19">
      <c r="A584" s="19">
        <f t="shared" si="72"/>
        <v>55212</v>
      </c>
      <c r="B584" s="19">
        <f t="shared" si="71"/>
        <v>55577</v>
      </c>
      <c r="C584" s="86">
        <f t="shared" si="73"/>
        <v>0.26</v>
      </c>
      <c r="D584" s="86">
        <f t="shared" si="73"/>
        <v>0.27900000000000003</v>
      </c>
      <c r="E584" s="86">
        <f t="shared" si="73"/>
        <v>6.0999999999999999E-2</v>
      </c>
      <c r="F584" s="86">
        <f t="shared" si="73"/>
        <v>2.5999999999999999E-2</v>
      </c>
      <c r="G584" s="87">
        <v>0.26</v>
      </c>
      <c r="H584" s="87">
        <v>0.27900000000000003</v>
      </c>
      <c r="I584" s="87">
        <v>6.0999999999999999E-2</v>
      </c>
      <c r="J584" s="87">
        <v>2.5999999999999999E-2</v>
      </c>
      <c r="K584" s="25">
        <f>((6/3)*L578)+((6/3)*L590)</f>
        <v>78184</v>
      </c>
      <c r="L584" s="95"/>
      <c r="M584" s="82">
        <f t="shared" si="68"/>
        <v>0.6</v>
      </c>
      <c r="N584" s="82">
        <v>0.26</v>
      </c>
      <c r="O584" s="82">
        <f t="shared" si="69"/>
        <v>0.61</v>
      </c>
      <c r="P584" s="82">
        <v>0.34620000000000001</v>
      </c>
      <c r="Q584" s="82">
        <v>0.69640000000000002</v>
      </c>
      <c r="R584" s="82">
        <v>0.6</v>
      </c>
      <c r="S584" s="82">
        <v>0.61</v>
      </c>
    </row>
    <row r="585" spans="1:19">
      <c r="A585" s="19">
        <f t="shared" si="72"/>
        <v>55243</v>
      </c>
      <c r="B585" s="19">
        <f t="shared" si="71"/>
        <v>55608</v>
      </c>
      <c r="C585" s="86">
        <f t="shared" si="73"/>
        <v>0.26</v>
      </c>
      <c r="D585" s="86">
        <f t="shared" si="73"/>
        <v>0.27900000000000003</v>
      </c>
      <c r="E585" s="86">
        <f t="shared" si="73"/>
        <v>6.0999999999999999E-2</v>
      </c>
      <c r="F585" s="86">
        <f t="shared" si="73"/>
        <v>2.5999999999999999E-2</v>
      </c>
      <c r="G585" s="87">
        <v>0.26</v>
      </c>
      <c r="H585" s="87">
        <v>0.27900000000000003</v>
      </c>
      <c r="I585" s="87">
        <v>6.0999999999999999E-2</v>
      </c>
      <c r="J585" s="87">
        <v>2.5999999999999999E-2</v>
      </c>
      <c r="K585" s="25">
        <f>((5/3)*L578)+((7/3)*L590)</f>
        <v>78502</v>
      </c>
      <c r="L585" s="95"/>
      <c r="M585" s="82">
        <f t="shared" si="68"/>
        <v>0.6</v>
      </c>
      <c r="N585" s="82">
        <v>0.26</v>
      </c>
      <c r="O585" s="82">
        <f t="shared" si="69"/>
        <v>0.61</v>
      </c>
      <c r="P585" s="82">
        <v>0.34620000000000001</v>
      </c>
      <c r="Q585" s="82">
        <v>0.69640000000000002</v>
      </c>
      <c r="R585" s="82">
        <v>0.6</v>
      </c>
      <c r="S585" s="82">
        <v>0.61</v>
      </c>
    </row>
    <row r="586" spans="1:19">
      <c r="A586" s="19">
        <f t="shared" si="72"/>
        <v>55273</v>
      </c>
      <c r="B586" s="19">
        <f t="shared" si="71"/>
        <v>55638</v>
      </c>
      <c r="C586" s="86">
        <f t="shared" si="73"/>
        <v>0.26</v>
      </c>
      <c r="D586" s="86">
        <f t="shared" si="73"/>
        <v>0.27900000000000003</v>
      </c>
      <c r="E586" s="86">
        <f t="shared" si="73"/>
        <v>6.0999999999999999E-2</v>
      </c>
      <c r="F586" s="86">
        <f t="shared" si="73"/>
        <v>2.5999999999999999E-2</v>
      </c>
      <c r="G586" s="87">
        <v>0.26</v>
      </c>
      <c r="H586" s="87">
        <v>0.27900000000000003</v>
      </c>
      <c r="I586" s="87">
        <v>6.0999999999999999E-2</v>
      </c>
      <c r="J586" s="87">
        <v>2.5999999999999999E-2</v>
      </c>
      <c r="K586" s="25">
        <f>((4/3)*L578)+((8/3)*L590)</f>
        <v>78820</v>
      </c>
      <c r="L586" s="95"/>
      <c r="M586" s="82">
        <f t="shared" si="68"/>
        <v>0.6</v>
      </c>
      <c r="N586" s="82">
        <v>0.26</v>
      </c>
      <c r="O586" s="82">
        <f t="shared" si="69"/>
        <v>0.61</v>
      </c>
      <c r="P586" s="82">
        <v>0.34620000000000001</v>
      </c>
      <c r="Q586" s="82">
        <v>0.69640000000000002</v>
      </c>
      <c r="R586" s="82">
        <v>0.6</v>
      </c>
      <c r="S586" s="82">
        <v>0.61</v>
      </c>
    </row>
    <row r="587" spans="1:19">
      <c r="A587" s="19">
        <f t="shared" si="72"/>
        <v>55304</v>
      </c>
      <c r="B587" s="19">
        <f t="shared" si="71"/>
        <v>55669</v>
      </c>
      <c r="C587" s="86">
        <f t="shared" si="73"/>
        <v>0.26</v>
      </c>
      <c r="D587" s="86">
        <f t="shared" si="73"/>
        <v>0.27900000000000003</v>
      </c>
      <c r="E587" s="86">
        <f t="shared" si="73"/>
        <v>6.0999999999999999E-2</v>
      </c>
      <c r="F587" s="86">
        <f t="shared" si="73"/>
        <v>2.5999999999999999E-2</v>
      </c>
      <c r="G587" s="87">
        <v>0.26</v>
      </c>
      <c r="H587" s="87">
        <v>0.27900000000000003</v>
      </c>
      <c r="I587" s="87">
        <v>6.0999999999999999E-2</v>
      </c>
      <c r="J587" s="87">
        <v>2.5999999999999999E-2</v>
      </c>
      <c r="K587" s="25">
        <f>((3/3)*L578)+((9/3)*L590)</f>
        <v>79137</v>
      </c>
      <c r="L587" s="95"/>
      <c r="M587" s="82">
        <f t="shared" si="68"/>
        <v>0.6</v>
      </c>
      <c r="N587" s="82">
        <v>0.26</v>
      </c>
      <c r="O587" s="82">
        <f t="shared" si="69"/>
        <v>0.61</v>
      </c>
      <c r="P587" s="82">
        <v>0.34620000000000001</v>
      </c>
      <c r="Q587" s="82">
        <v>0.69640000000000002</v>
      </c>
      <c r="R587" s="82">
        <v>0.6</v>
      </c>
      <c r="S587" s="82">
        <v>0.61</v>
      </c>
    </row>
    <row r="588" spans="1:19">
      <c r="A588" s="19">
        <f t="shared" si="72"/>
        <v>55334</v>
      </c>
      <c r="B588" s="19">
        <f t="shared" si="71"/>
        <v>55699</v>
      </c>
      <c r="C588" s="86">
        <f t="shared" si="73"/>
        <v>0.26</v>
      </c>
      <c r="D588" s="86">
        <f t="shared" si="73"/>
        <v>0.27900000000000003</v>
      </c>
      <c r="E588" s="86">
        <f t="shared" si="73"/>
        <v>6.0999999999999999E-2</v>
      </c>
      <c r="F588" s="86">
        <f t="shared" si="73"/>
        <v>2.5999999999999999E-2</v>
      </c>
      <c r="G588" s="87">
        <v>0.26</v>
      </c>
      <c r="H588" s="87">
        <v>0.27900000000000003</v>
      </c>
      <c r="I588" s="87">
        <v>6.0999999999999999E-2</v>
      </c>
      <c r="J588" s="87">
        <v>2.5999999999999999E-2</v>
      </c>
      <c r="K588" s="25">
        <f>((2/3)*L578)+((10/3)*L590)</f>
        <v>79455</v>
      </c>
      <c r="L588" s="95"/>
      <c r="M588" s="82">
        <f t="shared" si="68"/>
        <v>0.6</v>
      </c>
      <c r="N588" s="82">
        <v>0.26</v>
      </c>
      <c r="O588" s="82">
        <f t="shared" si="69"/>
        <v>0.61</v>
      </c>
      <c r="P588" s="82">
        <v>0.34620000000000001</v>
      </c>
      <c r="Q588" s="82">
        <v>0.69640000000000002</v>
      </c>
      <c r="R588" s="82">
        <v>0.6</v>
      </c>
      <c r="S588" s="82">
        <v>0.61</v>
      </c>
    </row>
    <row r="589" spans="1:19">
      <c r="A589" s="19">
        <f t="shared" si="72"/>
        <v>55365</v>
      </c>
      <c r="B589" s="19">
        <f t="shared" si="71"/>
        <v>55730</v>
      </c>
      <c r="C589" s="83">
        <f t="shared" si="73"/>
        <v>0.26</v>
      </c>
      <c r="D589" s="83">
        <f t="shared" si="73"/>
        <v>0.27900000000000003</v>
      </c>
      <c r="E589" s="83">
        <f t="shared" si="73"/>
        <v>6.0999999999999999E-2</v>
      </c>
      <c r="F589" s="83">
        <f t="shared" si="73"/>
        <v>2.5999999999999999E-2</v>
      </c>
      <c r="G589" s="87">
        <v>0.26</v>
      </c>
      <c r="H589" s="87">
        <v>0.27900000000000003</v>
      </c>
      <c r="I589" s="87">
        <v>6.0999999999999999E-2</v>
      </c>
      <c r="J589" s="87">
        <v>2.5999999999999999E-2</v>
      </c>
      <c r="K589" s="25">
        <f>((1/3)*L578)+((11/3)*L590)</f>
        <v>79773</v>
      </c>
      <c r="L589" s="95"/>
      <c r="M589" s="82">
        <f t="shared" si="68"/>
        <v>0.6</v>
      </c>
      <c r="N589" s="82">
        <v>0.26</v>
      </c>
      <c r="O589" s="82">
        <f t="shared" si="69"/>
        <v>0.61</v>
      </c>
      <c r="P589" s="82">
        <v>0.34620000000000001</v>
      </c>
      <c r="Q589" s="82">
        <v>0.69640000000000002</v>
      </c>
      <c r="R589" s="82">
        <v>0.6</v>
      </c>
      <c r="S589" s="82">
        <v>0.61</v>
      </c>
    </row>
    <row r="590" spans="1:19" s="80" customFormat="1">
      <c r="A590" s="79">
        <f t="shared" si="72"/>
        <v>55396</v>
      </c>
      <c r="B590" s="79">
        <f t="shared" si="71"/>
        <v>55761</v>
      </c>
      <c r="C590" s="88">
        <f t="shared" si="73"/>
        <v>0.26</v>
      </c>
      <c r="D590" s="88">
        <f t="shared" si="73"/>
        <v>0.27900000000000003</v>
      </c>
      <c r="E590" s="88">
        <f t="shared" si="73"/>
        <v>6.0999999999999999E-2</v>
      </c>
      <c r="F590" s="88">
        <f t="shared" si="73"/>
        <v>2.5999999999999999E-2</v>
      </c>
      <c r="G590" s="89">
        <v>0.26</v>
      </c>
      <c r="H590" s="89">
        <v>0.27900000000000003</v>
      </c>
      <c r="I590" s="89">
        <v>6.0999999999999999E-2</v>
      </c>
      <c r="J590" s="89">
        <v>2.5999999999999999E-2</v>
      </c>
      <c r="K590" s="78">
        <f>(L590*4)</f>
        <v>80091</v>
      </c>
      <c r="L590" s="96">
        <f>L578*1.05</f>
        <v>20022.71</v>
      </c>
      <c r="M590" s="355">
        <f t="shared" si="68"/>
        <v>0.6</v>
      </c>
      <c r="N590" s="355">
        <v>0.26</v>
      </c>
      <c r="O590" s="355">
        <f t="shared" si="69"/>
        <v>0.61</v>
      </c>
      <c r="P590" s="355">
        <v>0.34620000000000001</v>
      </c>
      <c r="Q590" s="355">
        <v>0.69640000000000002</v>
      </c>
      <c r="R590" s="355">
        <v>0.6</v>
      </c>
      <c r="S590" s="355">
        <v>0.61</v>
      </c>
    </row>
    <row r="591" spans="1:19" s="80" customFormat="1">
      <c r="A591" s="79">
        <f t="shared" si="72"/>
        <v>55426</v>
      </c>
      <c r="B591" s="79">
        <f t="shared" si="71"/>
        <v>55791</v>
      </c>
      <c r="C591" s="88">
        <f t="shared" si="73"/>
        <v>0.26</v>
      </c>
      <c r="D591" s="88">
        <f t="shared" si="73"/>
        <v>0.27900000000000003</v>
      </c>
      <c r="E591" s="88">
        <f t="shared" si="73"/>
        <v>6.0999999999999999E-2</v>
      </c>
      <c r="F591" s="88">
        <f t="shared" si="73"/>
        <v>2.5999999999999999E-2</v>
      </c>
      <c r="G591" s="89">
        <v>0.26</v>
      </c>
      <c r="H591" s="89">
        <v>0.27900000000000003</v>
      </c>
      <c r="I591" s="89">
        <v>6.0999999999999999E-2</v>
      </c>
      <c r="J591" s="89">
        <v>2.5999999999999999E-2</v>
      </c>
      <c r="K591" s="78">
        <f>((11/3)*L590)+((1/3)*L602)</f>
        <v>80425</v>
      </c>
      <c r="L591" s="96"/>
      <c r="M591" s="355">
        <f t="shared" si="68"/>
        <v>0.6</v>
      </c>
      <c r="N591" s="355">
        <v>0.26</v>
      </c>
      <c r="O591" s="355">
        <f t="shared" si="69"/>
        <v>0.61</v>
      </c>
      <c r="P591" s="355">
        <v>0.34620000000000001</v>
      </c>
      <c r="Q591" s="355">
        <v>0.69640000000000002</v>
      </c>
      <c r="R591" s="355">
        <v>0.6</v>
      </c>
      <c r="S591" s="355">
        <v>0.61</v>
      </c>
    </row>
    <row r="592" spans="1:19" s="80" customFormat="1">
      <c r="A592" s="79">
        <f t="shared" si="72"/>
        <v>55457</v>
      </c>
      <c r="B592" s="79">
        <f t="shared" si="71"/>
        <v>55822</v>
      </c>
      <c r="C592" s="88">
        <f t="shared" si="73"/>
        <v>0.26</v>
      </c>
      <c r="D592" s="88">
        <f t="shared" si="73"/>
        <v>0.27900000000000003</v>
      </c>
      <c r="E592" s="88">
        <f t="shared" si="73"/>
        <v>6.0999999999999999E-2</v>
      </c>
      <c r="F592" s="88">
        <f t="shared" si="73"/>
        <v>2.5999999999999999E-2</v>
      </c>
      <c r="G592" s="89">
        <v>0.26</v>
      </c>
      <c r="H592" s="89">
        <v>0.27900000000000003</v>
      </c>
      <c r="I592" s="89">
        <v>6.0999999999999999E-2</v>
      </c>
      <c r="J592" s="89">
        <v>2.5999999999999999E-2</v>
      </c>
      <c r="K592" s="78">
        <f>((10/3)*L590)+((2/3)*L602)</f>
        <v>80758</v>
      </c>
      <c r="L592" s="96"/>
      <c r="M592" s="355">
        <f t="shared" si="68"/>
        <v>0.6</v>
      </c>
      <c r="N592" s="355">
        <v>0.26</v>
      </c>
      <c r="O592" s="355">
        <f t="shared" si="69"/>
        <v>0.61</v>
      </c>
      <c r="P592" s="355">
        <v>0.34620000000000001</v>
      </c>
      <c r="Q592" s="355">
        <v>0.69640000000000002</v>
      </c>
      <c r="R592" s="355">
        <v>0.6</v>
      </c>
      <c r="S592" s="355">
        <v>0.61</v>
      </c>
    </row>
    <row r="593" spans="1:19" s="80" customFormat="1">
      <c r="A593" s="79">
        <f t="shared" si="72"/>
        <v>55487</v>
      </c>
      <c r="B593" s="79">
        <f t="shared" si="71"/>
        <v>55852</v>
      </c>
      <c r="C593" s="88">
        <f t="shared" si="73"/>
        <v>0.26</v>
      </c>
      <c r="D593" s="88">
        <f t="shared" si="73"/>
        <v>0.27900000000000003</v>
      </c>
      <c r="E593" s="88">
        <f t="shared" si="73"/>
        <v>6.0999999999999999E-2</v>
      </c>
      <c r="F593" s="88">
        <f t="shared" si="73"/>
        <v>2.5999999999999999E-2</v>
      </c>
      <c r="G593" s="89">
        <v>0.26</v>
      </c>
      <c r="H593" s="89">
        <v>0.27900000000000003</v>
      </c>
      <c r="I593" s="89">
        <v>6.0999999999999999E-2</v>
      </c>
      <c r="J593" s="89">
        <v>2.5999999999999999E-2</v>
      </c>
      <c r="K593" s="78">
        <f>((9/3)*L590)+((3/3)*L602)</f>
        <v>81092</v>
      </c>
      <c r="L593" s="96"/>
      <c r="M593" s="355">
        <f t="shared" si="68"/>
        <v>0.6</v>
      </c>
      <c r="N593" s="355">
        <v>0.26</v>
      </c>
      <c r="O593" s="355">
        <f t="shared" si="69"/>
        <v>0.61</v>
      </c>
      <c r="P593" s="355">
        <v>0.34620000000000001</v>
      </c>
      <c r="Q593" s="355">
        <v>0.69640000000000002</v>
      </c>
      <c r="R593" s="355">
        <v>0.6</v>
      </c>
      <c r="S593" s="355">
        <v>0.61</v>
      </c>
    </row>
    <row r="594" spans="1:19" s="80" customFormat="1">
      <c r="A594" s="79">
        <f t="shared" si="72"/>
        <v>55518</v>
      </c>
      <c r="B594" s="79">
        <f t="shared" si="71"/>
        <v>55883</v>
      </c>
      <c r="C594" s="88">
        <f t="shared" si="73"/>
        <v>0.26</v>
      </c>
      <c r="D594" s="88">
        <f t="shared" si="73"/>
        <v>0.27900000000000003</v>
      </c>
      <c r="E594" s="88">
        <f t="shared" si="73"/>
        <v>6.0999999999999999E-2</v>
      </c>
      <c r="F594" s="88">
        <f t="shared" si="73"/>
        <v>2.5999999999999999E-2</v>
      </c>
      <c r="G594" s="89">
        <v>0.26</v>
      </c>
      <c r="H594" s="89">
        <v>0.27900000000000003</v>
      </c>
      <c r="I594" s="89">
        <v>6.0999999999999999E-2</v>
      </c>
      <c r="J594" s="89">
        <v>2.5999999999999999E-2</v>
      </c>
      <c r="K594" s="78">
        <f>((8/3)*L590)+((4/3)*L602)</f>
        <v>81426</v>
      </c>
      <c r="L594" s="96"/>
      <c r="M594" s="355">
        <f t="shared" si="68"/>
        <v>0.6</v>
      </c>
      <c r="N594" s="355">
        <v>0.26</v>
      </c>
      <c r="O594" s="355">
        <f t="shared" si="69"/>
        <v>0.61</v>
      </c>
      <c r="P594" s="355">
        <v>0.34620000000000001</v>
      </c>
      <c r="Q594" s="355">
        <v>0.69640000000000002</v>
      </c>
      <c r="R594" s="355">
        <v>0.6</v>
      </c>
      <c r="S594" s="355">
        <v>0.61</v>
      </c>
    </row>
    <row r="595" spans="1:19" s="80" customFormat="1">
      <c r="A595" s="79">
        <f t="shared" si="72"/>
        <v>55549</v>
      </c>
      <c r="B595" s="79">
        <f t="shared" si="71"/>
        <v>55914</v>
      </c>
      <c r="C595" s="88">
        <f t="shared" ref="C595:F610" si="74">AVERAGE(G595:G606)</f>
        <v>0.26</v>
      </c>
      <c r="D595" s="88">
        <f t="shared" si="74"/>
        <v>0.27900000000000003</v>
      </c>
      <c r="E595" s="88">
        <f t="shared" si="74"/>
        <v>6.0999999999999999E-2</v>
      </c>
      <c r="F595" s="88">
        <f t="shared" si="74"/>
        <v>2.5999999999999999E-2</v>
      </c>
      <c r="G595" s="89">
        <v>0.26</v>
      </c>
      <c r="H595" s="89">
        <v>0.27900000000000003</v>
      </c>
      <c r="I595" s="89">
        <v>6.0999999999999999E-2</v>
      </c>
      <c r="J595" s="89">
        <v>2.5999999999999999E-2</v>
      </c>
      <c r="K595" s="78">
        <f>((7/3)*L590)+((5/3)*L602)</f>
        <v>81759</v>
      </c>
      <c r="L595" s="96"/>
      <c r="M595" s="355">
        <f t="shared" si="68"/>
        <v>0.6</v>
      </c>
      <c r="N595" s="355">
        <v>0.26</v>
      </c>
      <c r="O595" s="355">
        <f t="shared" si="69"/>
        <v>0.61</v>
      </c>
      <c r="P595" s="355">
        <v>0.34620000000000001</v>
      </c>
      <c r="Q595" s="355">
        <v>0.69640000000000002</v>
      </c>
      <c r="R595" s="355">
        <v>0.6</v>
      </c>
      <c r="S595" s="355">
        <v>0.61</v>
      </c>
    </row>
    <row r="596" spans="1:19" s="80" customFormat="1">
      <c r="A596" s="79">
        <f t="shared" si="72"/>
        <v>55578</v>
      </c>
      <c r="B596" s="79">
        <f t="shared" si="71"/>
        <v>55942</v>
      </c>
      <c r="C596" s="88">
        <f t="shared" si="74"/>
        <v>0.26</v>
      </c>
      <c r="D596" s="88">
        <f t="shared" si="74"/>
        <v>0.27900000000000003</v>
      </c>
      <c r="E596" s="88">
        <f t="shared" si="74"/>
        <v>6.0999999999999999E-2</v>
      </c>
      <c r="F596" s="88">
        <f t="shared" si="74"/>
        <v>2.5999999999999999E-2</v>
      </c>
      <c r="G596" s="89">
        <v>0.26</v>
      </c>
      <c r="H596" s="89">
        <v>0.27900000000000003</v>
      </c>
      <c r="I596" s="89">
        <v>6.0999999999999999E-2</v>
      </c>
      <c r="J596" s="89">
        <v>2.5999999999999999E-2</v>
      </c>
      <c r="K596" s="78">
        <f>((6/3)*L590)+((6/3)*L602)</f>
        <v>82093</v>
      </c>
      <c r="L596" s="96"/>
      <c r="M596" s="355">
        <f t="shared" si="68"/>
        <v>0.6</v>
      </c>
      <c r="N596" s="355">
        <v>0.26</v>
      </c>
      <c r="O596" s="355">
        <f t="shared" si="69"/>
        <v>0.61</v>
      </c>
      <c r="P596" s="355">
        <v>0.34620000000000001</v>
      </c>
      <c r="Q596" s="355">
        <v>0.69640000000000002</v>
      </c>
      <c r="R596" s="355">
        <v>0.6</v>
      </c>
      <c r="S596" s="355">
        <v>0.61</v>
      </c>
    </row>
    <row r="597" spans="1:19" s="80" customFormat="1">
      <c r="A597" s="79">
        <f t="shared" si="72"/>
        <v>55609</v>
      </c>
      <c r="B597" s="79">
        <f t="shared" si="71"/>
        <v>55973</v>
      </c>
      <c r="C597" s="88">
        <f t="shared" si="74"/>
        <v>0.26</v>
      </c>
      <c r="D597" s="88">
        <f t="shared" si="74"/>
        <v>0.27900000000000003</v>
      </c>
      <c r="E597" s="88">
        <f t="shared" si="74"/>
        <v>6.0999999999999999E-2</v>
      </c>
      <c r="F597" s="88">
        <f t="shared" si="74"/>
        <v>2.5999999999999999E-2</v>
      </c>
      <c r="G597" s="89">
        <v>0.26</v>
      </c>
      <c r="H597" s="89">
        <v>0.27900000000000003</v>
      </c>
      <c r="I597" s="89">
        <v>6.0999999999999999E-2</v>
      </c>
      <c r="J597" s="89">
        <v>2.5999999999999999E-2</v>
      </c>
      <c r="K597" s="78">
        <f>((5/3)*L590)+((7/3)*L602)</f>
        <v>82427</v>
      </c>
      <c r="L597" s="96"/>
      <c r="M597" s="355">
        <f t="shared" si="68"/>
        <v>0.6</v>
      </c>
      <c r="N597" s="355">
        <v>0.26</v>
      </c>
      <c r="O597" s="355">
        <f t="shared" si="69"/>
        <v>0.61</v>
      </c>
      <c r="P597" s="355">
        <v>0.34620000000000001</v>
      </c>
      <c r="Q597" s="355">
        <v>0.69640000000000002</v>
      </c>
      <c r="R597" s="355">
        <v>0.6</v>
      </c>
      <c r="S597" s="355">
        <v>0.61</v>
      </c>
    </row>
    <row r="598" spans="1:19" s="80" customFormat="1">
      <c r="A598" s="79">
        <f t="shared" si="72"/>
        <v>55639</v>
      </c>
      <c r="B598" s="79">
        <f t="shared" si="71"/>
        <v>56003</v>
      </c>
      <c r="C598" s="88">
        <f t="shared" si="74"/>
        <v>0.26</v>
      </c>
      <c r="D598" s="88">
        <f t="shared" si="74"/>
        <v>0.27900000000000003</v>
      </c>
      <c r="E598" s="88">
        <f t="shared" si="74"/>
        <v>6.0999999999999999E-2</v>
      </c>
      <c r="F598" s="88">
        <f t="shared" si="74"/>
        <v>2.5999999999999999E-2</v>
      </c>
      <c r="G598" s="89">
        <v>0.26</v>
      </c>
      <c r="H598" s="89">
        <v>0.27900000000000003</v>
      </c>
      <c r="I598" s="89">
        <v>6.0999999999999999E-2</v>
      </c>
      <c r="J598" s="89">
        <v>2.5999999999999999E-2</v>
      </c>
      <c r="K598" s="78">
        <f>((4/3)*L590)+((8/3)*L602)</f>
        <v>82761</v>
      </c>
      <c r="L598" s="96"/>
      <c r="M598" s="355">
        <f t="shared" si="68"/>
        <v>0.6</v>
      </c>
      <c r="N598" s="355">
        <v>0.26</v>
      </c>
      <c r="O598" s="355">
        <f t="shared" si="69"/>
        <v>0.61</v>
      </c>
      <c r="P598" s="355">
        <v>0.34620000000000001</v>
      </c>
      <c r="Q598" s="355">
        <v>0.69640000000000002</v>
      </c>
      <c r="R598" s="355">
        <v>0.6</v>
      </c>
      <c r="S598" s="355">
        <v>0.61</v>
      </c>
    </row>
    <row r="599" spans="1:19" s="80" customFormat="1">
      <c r="A599" s="79">
        <f t="shared" si="72"/>
        <v>55670</v>
      </c>
      <c r="B599" s="79">
        <f t="shared" si="71"/>
        <v>56034</v>
      </c>
      <c r="C599" s="88">
        <f t="shared" si="74"/>
        <v>0.26</v>
      </c>
      <c r="D599" s="88">
        <f t="shared" si="74"/>
        <v>0.27900000000000003</v>
      </c>
      <c r="E599" s="88">
        <f t="shared" si="74"/>
        <v>6.0999999999999999E-2</v>
      </c>
      <c r="F599" s="88">
        <f t="shared" si="74"/>
        <v>2.5999999999999999E-2</v>
      </c>
      <c r="G599" s="89">
        <v>0.26</v>
      </c>
      <c r="H599" s="89">
        <v>0.27900000000000003</v>
      </c>
      <c r="I599" s="89">
        <v>6.0999999999999999E-2</v>
      </c>
      <c r="J599" s="89">
        <v>2.5999999999999999E-2</v>
      </c>
      <c r="K599" s="78">
        <f>((3/3)*L590)+((9/3)*L602)</f>
        <v>83094</v>
      </c>
      <c r="L599" s="96"/>
      <c r="M599" s="355">
        <f t="shared" si="68"/>
        <v>0.6</v>
      </c>
      <c r="N599" s="355">
        <v>0.26</v>
      </c>
      <c r="O599" s="355">
        <f t="shared" si="69"/>
        <v>0.61</v>
      </c>
      <c r="P599" s="355">
        <v>0.34620000000000001</v>
      </c>
      <c r="Q599" s="355">
        <v>0.69640000000000002</v>
      </c>
      <c r="R599" s="355">
        <v>0.6</v>
      </c>
      <c r="S599" s="355">
        <v>0.61</v>
      </c>
    </row>
    <row r="600" spans="1:19" s="80" customFormat="1">
      <c r="A600" s="79">
        <f t="shared" si="72"/>
        <v>55700</v>
      </c>
      <c r="B600" s="79">
        <f t="shared" si="71"/>
        <v>56064</v>
      </c>
      <c r="C600" s="88">
        <f t="shared" si="74"/>
        <v>0.26</v>
      </c>
      <c r="D600" s="88">
        <f t="shared" si="74"/>
        <v>0.27900000000000003</v>
      </c>
      <c r="E600" s="88">
        <f t="shared" si="74"/>
        <v>6.0999999999999999E-2</v>
      </c>
      <c r="F600" s="88">
        <f t="shared" si="74"/>
        <v>2.5999999999999999E-2</v>
      </c>
      <c r="G600" s="89">
        <v>0.26</v>
      </c>
      <c r="H600" s="89">
        <v>0.27900000000000003</v>
      </c>
      <c r="I600" s="89">
        <v>6.0999999999999999E-2</v>
      </c>
      <c r="J600" s="89">
        <v>2.5999999999999999E-2</v>
      </c>
      <c r="K600" s="78">
        <f>((2/3)*L590)+((10/3)*L602)</f>
        <v>83428</v>
      </c>
      <c r="L600" s="96"/>
      <c r="M600" s="355">
        <f t="shared" si="68"/>
        <v>0.6</v>
      </c>
      <c r="N600" s="355">
        <v>0.26</v>
      </c>
      <c r="O600" s="355">
        <f t="shared" si="69"/>
        <v>0.61</v>
      </c>
      <c r="P600" s="355">
        <v>0.34620000000000001</v>
      </c>
      <c r="Q600" s="355">
        <v>0.69640000000000002</v>
      </c>
      <c r="R600" s="355">
        <v>0.6</v>
      </c>
      <c r="S600" s="355">
        <v>0.61</v>
      </c>
    </row>
    <row r="601" spans="1:19" s="80" customFormat="1">
      <c r="A601" s="79">
        <f t="shared" si="72"/>
        <v>55731</v>
      </c>
      <c r="B601" s="79">
        <f t="shared" si="71"/>
        <v>56095</v>
      </c>
      <c r="C601" s="88">
        <f t="shared" si="74"/>
        <v>0.26</v>
      </c>
      <c r="D601" s="88">
        <f t="shared" si="74"/>
        <v>0.27900000000000003</v>
      </c>
      <c r="E601" s="88">
        <f t="shared" si="74"/>
        <v>6.0999999999999999E-2</v>
      </c>
      <c r="F601" s="88">
        <f t="shared" si="74"/>
        <v>2.5999999999999999E-2</v>
      </c>
      <c r="G601" s="89">
        <v>0.26</v>
      </c>
      <c r="H601" s="89">
        <v>0.27900000000000003</v>
      </c>
      <c r="I601" s="89">
        <v>6.0999999999999999E-2</v>
      </c>
      <c r="J601" s="89">
        <v>2.5999999999999999E-2</v>
      </c>
      <c r="K601" s="78">
        <f>((1/3)*L590)+((11/3)*L602)</f>
        <v>83762</v>
      </c>
      <c r="L601" s="96"/>
      <c r="M601" s="355">
        <f t="shared" si="68"/>
        <v>0.6</v>
      </c>
      <c r="N601" s="355">
        <v>0.26</v>
      </c>
      <c r="O601" s="355">
        <f t="shared" si="69"/>
        <v>0.61</v>
      </c>
      <c r="P601" s="355">
        <v>0.34620000000000001</v>
      </c>
      <c r="Q601" s="355">
        <v>0.69640000000000002</v>
      </c>
      <c r="R601" s="355">
        <v>0.6</v>
      </c>
      <c r="S601" s="355">
        <v>0.61</v>
      </c>
    </row>
    <row r="602" spans="1:19">
      <c r="A602" s="19">
        <f t="shared" si="72"/>
        <v>55762</v>
      </c>
      <c r="B602" s="19">
        <f t="shared" si="71"/>
        <v>56126</v>
      </c>
      <c r="C602" s="86">
        <f t="shared" si="74"/>
        <v>0.26</v>
      </c>
      <c r="D602" s="86">
        <f t="shared" si="74"/>
        <v>0.27900000000000003</v>
      </c>
      <c r="E602" s="86">
        <f t="shared" si="74"/>
        <v>6.0999999999999999E-2</v>
      </c>
      <c r="F602" s="86">
        <f t="shared" si="74"/>
        <v>2.5999999999999999E-2</v>
      </c>
      <c r="G602" s="87">
        <v>0.26</v>
      </c>
      <c r="H602" s="87">
        <v>0.27900000000000003</v>
      </c>
      <c r="I602" s="87">
        <v>6.0999999999999999E-2</v>
      </c>
      <c r="J602" s="87">
        <v>2.5999999999999999E-2</v>
      </c>
      <c r="K602" s="25">
        <f>(L602*4)</f>
        <v>84095</v>
      </c>
      <c r="L602" s="95">
        <f>L590*1.05</f>
        <v>21023.85</v>
      </c>
      <c r="M602" s="82">
        <f t="shared" si="68"/>
        <v>0.6</v>
      </c>
      <c r="N602" s="82">
        <v>0.26</v>
      </c>
      <c r="O602" s="82">
        <f t="shared" si="69"/>
        <v>0.61</v>
      </c>
      <c r="P602" s="82">
        <v>0.34620000000000001</v>
      </c>
      <c r="Q602" s="82">
        <v>0.69640000000000002</v>
      </c>
      <c r="R602" s="82">
        <v>0.6</v>
      </c>
      <c r="S602" s="82">
        <v>0.61</v>
      </c>
    </row>
    <row r="603" spans="1:19">
      <c r="A603" s="19">
        <f t="shared" si="72"/>
        <v>55792</v>
      </c>
      <c r="B603" s="19">
        <f t="shared" si="71"/>
        <v>56156</v>
      </c>
      <c r="C603" s="86">
        <f t="shared" si="74"/>
        <v>0.26</v>
      </c>
      <c r="D603" s="86">
        <f t="shared" si="74"/>
        <v>0.27900000000000003</v>
      </c>
      <c r="E603" s="86">
        <f t="shared" si="74"/>
        <v>6.0999999999999999E-2</v>
      </c>
      <c r="F603" s="86">
        <f t="shared" si="74"/>
        <v>2.5999999999999999E-2</v>
      </c>
      <c r="G603" s="87">
        <v>0.26</v>
      </c>
      <c r="H603" s="87">
        <v>0.27900000000000003</v>
      </c>
      <c r="I603" s="87">
        <v>6.0999999999999999E-2</v>
      </c>
      <c r="J603" s="87">
        <v>2.5999999999999999E-2</v>
      </c>
      <c r="K603" s="25">
        <f>((11/3)*L602)+((1/3)*L614)</f>
        <v>84446</v>
      </c>
      <c r="L603" s="95"/>
      <c r="M603" s="82">
        <f t="shared" si="68"/>
        <v>0.6</v>
      </c>
      <c r="N603" s="82">
        <v>0.26</v>
      </c>
      <c r="O603" s="82">
        <f t="shared" si="69"/>
        <v>0.61</v>
      </c>
      <c r="P603" s="82">
        <v>0.34620000000000001</v>
      </c>
      <c r="Q603" s="82">
        <v>0.69640000000000002</v>
      </c>
      <c r="R603" s="82">
        <v>0.6</v>
      </c>
      <c r="S603" s="82">
        <v>0.61</v>
      </c>
    </row>
    <row r="604" spans="1:19">
      <c r="A604" s="19">
        <f t="shared" si="72"/>
        <v>55823</v>
      </c>
      <c r="B604" s="19">
        <f t="shared" si="71"/>
        <v>56187</v>
      </c>
      <c r="C604" s="86">
        <f t="shared" si="74"/>
        <v>0.26</v>
      </c>
      <c r="D604" s="86">
        <f t="shared" si="74"/>
        <v>0.27900000000000003</v>
      </c>
      <c r="E604" s="86">
        <f t="shared" si="74"/>
        <v>6.0999999999999999E-2</v>
      </c>
      <c r="F604" s="86">
        <f t="shared" si="74"/>
        <v>2.5999999999999999E-2</v>
      </c>
      <c r="G604" s="87">
        <v>0.26</v>
      </c>
      <c r="H604" s="87">
        <v>0.27900000000000003</v>
      </c>
      <c r="I604" s="87">
        <v>6.0999999999999999E-2</v>
      </c>
      <c r="J604" s="87">
        <v>2.5999999999999999E-2</v>
      </c>
      <c r="K604" s="25">
        <f>((10/3)*L602)+((2/3)*L614)</f>
        <v>84796</v>
      </c>
      <c r="L604" s="95"/>
      <c r="M604" s="82">
        <f t="shared" si="68"/>
        <v>0.6</v>
      </c>
      <c r="N604" s="82">
        <v>0.26</v>
      </c>
      <c r="O604" s="82">
        <f t="shared" si="69"/>
        <v>0.61</v>
      </c>
      <c r="P604" s="82">
        <v>0.34620000000000001</v>
      </c>
      <c r="Q604" s="82">
        <v>0.69640000000000002</v>
      </c>
      <c r="R604" s="82">
        <v>0.6</v>
      </c>
      <c r="S604" s="82">
        <v>0.61</v>
      </c>
    </row>
    <row r="605" spans="1:19">
      <c r="A605" s="19">
        <f t="shared" si="72"/>
        <v>55853</v>
      </c>
      <c r="B605" s="19">
        <f t="shared" si="71"/>
        <v>56217</v>
      </c>
      <c r="C605" s="86">
        <f t="shared" si="74"/>
        <v>0.26</v>
      </c>
      <c r="D605" s="86">
        <f t="shared" si="74"/>
        <v>0.27900000000000003</v>
      </c>
      <c r="E605" s="86">
        <f t="shared" si="74"/>
        <v>6.0999999999999999E-2</v>
      </c>
      <c r="F605" s="86">
        <f t="shared" si="74"/>
        <v>2.5999999999999999E-2</v>
      </c>
      <c r="G605" s="87">
        <v>0.26</v>
      </c>
      <c r="H605" s="87">
        <v>0.27900000000000003</v>
      </c>
      <c r="I605" s="87">
        <v>6.0999999999999999E-2</v>
      </c>
      <c r="J605" s="87">
        <v>2.5999999999999999E-2</v>
      </c>
      <c r="K605" s="25">
        <f>((9/3)*L602)+((3/3)*L614)</f>
        <v>85147</v>
      </c>
      <c r="L605" s="95"/>
      <c r="M605" s="82">
        <f t="shared" si="68"/>
        <v>0.6</v>
      </c>
      <c r="N605" s="82">
        <v>0.26</v>
      </c>
      <c r="O605" s="82">
        <f t="shared" si="69"/>
        <v>0.61</v>
      </c>
      <c r="P605" s="82">
        <v>0.34620000000000001</v>
      </c>
      <c r="Q605" s="82">
        <v>0.69640000000000002</v>
      </c>
      <c r="R605" s="82">
        <v>0.6</v>
      </c>
      <c r="S605" s="82">
        <v>0.61</v>
      </c>
    </row>
    <row r="606" spans="1:19">
      <c r="A606" s="19">
        <f t="shared" si="72"/>
        <v>55884</v>
      </c>
      <c r="B606" s="19">
        <f t="shared" si="71"/>
        <v>56248</v>
      </c>
      <c r="C606" s="86">
        <f t="shared" si="74"/>
        <v>0.26</v>
      </c>
      <c r="D606" s="86">
        <f t="shared" si="74"/>
        <v>0.27900000000000003</v>
      </c>
      <c r="E606" s="86">
        <f t="shared" si="74"/>
        <v>6.0999999999999999E-2</v>
      </c>
      <c r="F606" s="86">
        <f t="shared" si="74"/>
        <v>2.5999999999999999E-2</v>
      </c>
      <c r="G606" s="87">
        <v>0.26</v>
      </c>
      <c r="H606" s="87">
        <v>0.27900000000000003</v>
      </c>
      <c r="I606" s="87">
        <v>6.0999999999999999E-2</v>
      </c>
      <c r="J606" s="87">
        <v>2.5999999999999999E-2</v>
      </c>
      <c r="K606" s="25">
        <f>((8/3)*L602)+((4/3)*L614)</f>
        <v>85497</v>
      </c>
      <c r="L606" s="95"/>
      <c r="M606" s="82">
        <f t="shared" si="68"/>
        <v>0.6</v>
      </c>
      <c r="N606" s="82">
        <v>0.26</v>
      </c>
      <c r="O606" s="82">
        <f t="shared" si="69"/>
        <v>0.61</v>
      </c>
      <c r="P606" s="82">
        <v>0.34620000000000001</v>
      </c>
      <c r="Q606" s="82">
        <v>0.69640000000000002</v>
      </c>
      <c r="R606" s="82">
        <v>0.6</v>
      </c>
      <c r="S606" s="82">
        <v>0.61</v>
      </c>
    </row>
    <row r="607" spans="1:19">
      <c r="A607" s="19">
        <f t="shared" si="72"/>
        <v>55915</v>
      </c>
      <c r="B607" s="19">
        <f t="shared" si="71"/>
        <v>56279</v>
      </c>
      <c r="C607" s="86">
        <f t="shared" si="74"/>
        <v>0.26</v>
      </c>
      <c r="D607" s="86">
        <f t="shared" si="74"/>
        <v>0.27900000000000003</v>
      </c>
      <c r="E607" s="86">
        <f t="shared" si="74"/>
        <v>6.0999999999999999E-2</v>
      </c>
      <c r="F607" s="86">
        <f t="shared" si="74"/>
        <v>2.5999999999999999E-2</v>
      </c>
      <c r="G607" s="87">
        <v>0.26</v>
      </c>
      <c r="H607" s="87">
        <v>0.27900000000000003</v>
      </c>
      <c r="I607" s="87">
        <v>6.0999999999999999E-2</v>
      </c>
      <c r="J607" s="87">
        <v>2.5999999999999999E-2</v>
      </c>
      <c r="K607" s="25">
        <f>((7/3)*L602)+((5/3)*L614)</f>
        <v>85847</v>
      </c>
      <c r="L607" s="95"/>
      <c r="M607" s="82">
        <f t="shared" si="68"/>
        <v>0.6</v>
      </c>
      <c r="N607" s="82">
        <v>0.26</v>
      </c>
      <c r="O607" s="82">
        <f t="shared" si="69"/>
        <v>0.61</v>
      </c>
      <c r="P607" s="82">
        <v>0.34620000000000001</v>
      </c>
      <c r="Q607" s="82">
        <v>0.69640000000000002</v>
      </c>
      <c r="R607" s="82">
        <v>0.6</v>
      </c>
      <c r="S607" s="82">
        <v>0.61</v>
      </c>
    </row>
    <row r="608" spans="1:19">
      <c r="A608" s="19">
        <f t="shared" si="72"/>
        <v>55943</v>
      </c>
      <c r="B608" s="19">
        <f t="shared" si="71"/>
        <v>56307</v>
      </c>
      <c r="C608" s="86">
        <f t="shared" si="74"/>
        <v>0.26</v>
      </c>
      <c r="D608" s="86">
        <f t="shared" si="74"/>
        <v>0.27900000000000003</v>
      </c>
      <c r="E608" s="86">
        <f t="shared" si="74"/>
        <v>6.0999999999999999E-2</v>
      </c>
      <c r="F608" s="86">
        <f t="shared" si="74"/>
        <v>2.5999999999999999E-2</v>
      </c>
      <c r="G608" s="87">
        <v>0.26</v>
      </c>
      <c r="H608" s="87">
        <v>0.27900000000000003</v>
      </c>
      <c r="I608" s="87">
        <v>6.0999999999999999E-2</v>
      </c>
      <c r="J608" s="87">
        <v>2.5999999999999999E-2</v>
      </c>
      <c r="K608" s="25">
        <f>((6/3)*L602)+((6/3)*L614)</f>
        <v>86198</v>
      </c>
      <c r="L608" s="95"/>
      <c r="M608" s="82">
        <f t="shared" si="68"/>
        <v>0.6</v>
      </c>
      <c r="N608" s="82">
        <v>0.26</v>
      </c>
      <c r="O608" s="82">
        <f t="shared" si="69"/>
        <v>0.61</v>
      </c>
      <c r="P608" s="82">
        <v>0.34620000000000001</v>
      </c>
      <c r="Q608" s="82">
        <v>0.69640000000000002</v>
      </c>
      <c r="R608" s="82">
        <v>0.6</v>
      </c>
      <c r="S608" s="82">
        <v>0.61</v>
      </c>
    </row>
    <row r="609" spans="1:19">
      <c r="A609" s="19">
        <f t="shared" si="72"/>
        <v>55974</v>
      </c>
      <c r="B609" s="19">
        <f t="shared" si="71"/>
        <v>56338</v>
      </c>
      <c r="C609" s="86">
        <f t="shared" si="74"/>
        <v>0.26</v>
      </c>
      <c r="D609" s="86">
        <f t="shared" si="74"/>
        <v>0.27900000000000003</v>
      </c>
      <c r="E609" s="86">
        <f t="shared" si="74"/>
        <v>6.0999999999999999E-2</v>
      </c>
      <c r="F609" s="86">
        <f t="shared" si="74"/>
        <v>2.5999999999999999E-2</v>
      </c>
      <c r="G609" s="87">
        <v>0.26</v>
      </c>
      <c r="H609" s="87">
        <v>0.27900000000000003</v>
      </c>
      <c r="I609" s="87">
        <v>6.0999999999999999E-2</v>
      </c>
      <c r="J609" s="87">
        <v>2.5999999999999999E-2</v>
      </c>
      <c r="K609" s="25">
        <f>((5/3)*L602)+((7/3)*L614)</f>
        <v>86548</v>
      </c>
      <c r="L609" s="95"/>
      <c r="M609" s="82">
        <f t="shared" si="68"/>
        <v>0.6</v>
      </c>
      <c r="N609" s="82">
        <v>0.26</v>
      </c>
      <c r="O609" s="82">
        <f t="shared" si="69"/>
        <v>0.61</v>
      </c>
      <c r="P609" s="82">
        <v>0.34620000000000001</v>
      </c>
      <c r="Q609" s="82">
        <v>0.69640000000000002</v>
      </c>
      <c r="R609" s="82">
        <v>0.6</v>
      </c>
      <c r="S609" s="82">
        <v>0.61</v>
      </c>
    </row>
    <row r="610" spans="1:19">
      <c r="A610" s="19">
        <f t="shared" si="72"/>
        <v>56004</v>
      </c>
      <c r="B610" s="19">
        <f t="shared" si="71"/>
        <v>56368</v>
      </c>
      <c r="C610" s="86">
        <f t="shared" si="74"/>
        <v>0.26</v>
      </c>
      <c r="D610" s="86">
        <f t="shared" si="74"/>
        <v>0.27900000000000003</v>
      </c>
      <c r="E610" s="86">
        <f t="shared" si="74"/>
        <v>6.0999999999999999E-2</v>
      </c>
      <c r="F610" s="86">
        <f t="shared" si="74"/>
        <v>2.5999999999999999E-2</v>
      </c>
      <c r="G610" s="87">
        <v>0.26</v>
      </c>
      <c r="H610" s="87">
        <v>0.27900000000000003</v>
      </c>
      <c r="I610" s="87">
        <v>6.0999999999999999E-2</v>
      </c>
      <c r="J610" s="87">
        <v>2.5999999999999999E-2</v>
      </c>
      <c r="K610" s="25">
        <f>((4/3)*L602)+((8/3)*L614)</f>
        <v>86899</v>
      </c>
      <c r="L610" s="95"/>
      <c r="M610" s="82">
        <f t="shared" si="68"/>
        <v>0.6</v>
      </c>
      <c r="N610" s="82">
        <v>0.26</v>
      </c>
      <c r="O610" s="82">
        <f t="shared" si="69"/>
        <v>0.61</v>
      </c>
      <c r="P610" s="82">
        <v>0.34620000000000001</v>
      </c>
      <c r="Q610" s="82">
        <v>0.69640000000000002</v>
      </c>
      <c r="R610" s="82">
        <v>0.6</v>
      </c>
      <c r="S610" s="82">
        <v>0.61</v>
      </c>
    </row>
    <row r="611" spans="1:19">
      <c r="A611" s="19">
        <f t="shared" si="72"/>
        <v>56035</v>
      </c>
      <c r="B611" s="19">
        <f t="shared" si="71"/>
        <v>56399</v>
      </c>
      <c r="C611" s="86">
        <f t="shared" ref="C611:F626" si="75">AVERAGE(G611:G622)</f>
        <v>0.26</v>
      </c>
      <c r="D611" s="86">
        <f t="shared" si="75"/>
        <v>0.27900000000000003</v>
      </c>
      <c r="E611" s="86">
        <f t="shared" si="75"/>
        <v>6.0999999999999999E-2</v>
      </c>
      <c r="F611" s="86">
        <f t="shared" si="75"/>
        <v>2.5999999999999999E-2</v>
      </c>
      <c r="G611" s="87">
        <v>0.26</v>
      </c>
      <c r="H611" s="87">
        <v>0.27900000000000003</v>
      </c>
      <c r="I611" s="87">
        <v>6.0999999999999999E-2</v>
      </c>
      <c r="J611" s="87">
        <v>2.5999999999999999E-2</v>
      </c>
      <c r="K611" s="25">
        <f>((3/3)*L602)+((9/3)*L614)</f>
        <v>87249</v>
      </c>
      <c r="L611" s="95"/>
      <c r="M611" s="82">
        <f t="shared" si="68"/>
        <v>0.6</v>
      </c>
      <c r="N611" s="82">
        <v>0.26</v>
      </c>
      <c r="O611" s="82">
        <f t="shared" si="69"/>
        <v>0.61</v>
      </c>
      <c r="P611" s="82">
        <v>0.34620000000000001</v>
      </c>
      <c r="Q611" s="82">
        <v>0.69640000000000002</v>
      </c>
      <c r="R611" s="82">
        <v>0.6</v>
      </c>
      <c r="S611" s="82">
        <v>0.61</v>
      </c>
    </row>
    <row r="612" spans="1:19">
      <c r="A612" s="19">
        <f t="shared" si="72"/>
        <v>56065</v>
      </c>
      <c r="B612" s="19">
        <f t="shared" si="71"/>
        <v>56429</v>
      </c>
      <c r="C612" s="86">
        <f t="shared" si="75"/>
        <v>0.26</v>
      </c>
      <c r="D612" s="86">
        <f t="shared" si="75"/>
        <v>0.27900000000000003</v>
      </c>
      <c r="E612" s="86">
        <f t="shared" si="75"/>
        <v>6.0999999999999999E-2</v>
      </c>
      <c r="F612" s="86">
        <f t="shared" si="75"/>
        <v>2.5999999999999999E-2</v>
      </c>
      <c r="G612" s="87">
        <v>0.26</v>
      </c>
      <c r="H612" s="87">
        <v>0.27900000000000003</v>
      </c>
      <c r="I612" s="87">
        <v>6.0999999999999999E-2</v>
      </c>
      <c r="J612" s="87">
        <v>2.5999999999999999E-2</v>
      </c>
      <c r="K612" s="25">
        <f>((2/3)*L602)+((10/3)*L614)</f>
        <v>87599</v>
      </c>
      <c r="L612" s="95"/>
      <c r="M612" s="82">
        <f t="shared" si="68"/>
        <v>0.6</v>
      </c>
      <c r="N612" s="82">
        <v>0.26</v>
      </c>
      <c r="O612" s="82">
        <f t="shared" si="69"/>
        <v>0.61</v>
      </c>
      <c r="P612" s="82">
        <v>0.34620000000000001</v>
      </c>
      <c r="Q612" s="82">
        <v>0.69640000000000002</v>
      </c>
      <c r="R612" s="82">
        <v>0.6</v>
      </c>
      <c r="S612" s="82">
        <v>0.61</v>
      </c>
    </row>
    <row r="613" spans="1:19">
      <c r="A613" s="19">
        <f t="shared" si="72"/>
        <v>56096</v>
      </c>
      <c r="B613" s="19">
        <f t="shared" si="71"/>
        <v>56460</v>
      </c>
      <c r="C613" s="83">
        <f t="shared" si="75"/>
        <v>0.26</v>
      </c>
      <c r="D613" s="83">
        <f t="shared" si="75"/>
        <v>0.27900000000000003</v>
      </c>
      <c r="E613" s="83">
        <f t="shared" si="75"/>
        <v>6.0999999999999999E-2</v>
      </c>
      <c r="F613" s="83">
        <f t="shared" si="75"/>
        <v>2.5999999999999999E-2</v>
      </c>
      <c r="G613" s="87">
        <v>0.26</v>
      </c>
      <c r="H613" s="87">
        <v>0.27900000000000003</v>
      </c>
      <c r="I613" s="87">
        <v>6.0999999999999999E-2</v>
      </c>
      <c r="J613" s="87">
        <v>2.5999999999999999E-2</v>
      </c>
      <c r="K613" s="25">
        <f>((1/3)*L602)+((11/3)*L614)</f>
        <v>87950</v>
      </c>
      <c r="L613" s="95"/>
      <c r="M613" s="82">
        <f t="shared" si="68"/>
        <v>0.6</v>
      </c>
      <c r="N613" s="82">
        <v>0.26</v>
      </c>
      <c r="O613" s="82">
        <f t="shared" si="69"/>
        <v>0.61</v>
      </c>
      <c r="P613" s="82">
        <v>0.34620000000000001</v>
      </c>
      <c r="Q613" s="82">
        <v>0.69640000000000002</v>
      </c>
      <c r="R613" s="82">
        <v>0.6</v>
      </c>
      <c r="S613" s="82">
        <v>0.61</v>
      </c>
    </row>
    <row r="614" spans="1:19" s="80" customFormat="1">
      <c r="A614" s="79">
        <f t="shared" si="72"/>
        <v>56127</v>
      </c>
      <c r="B614" s="79">
        <f t="shared" si="71"/>
        <v>56491</v>
      </c>
      <c r="C614" s="88">
        <f t="shared" si="75"/>
        <v>0.26</v>
      </c>
      <c r="D614" s="88">
        <f t="shared" si="75"/>
        <v>0.27900000000000003</v>
      </c>
      <c r="E614" s="88">
        <f t="shared" si="75"/>
        <v>6.0999999999999999E-2</v>
      </c>
      <c r="F614" s="88">
        <f t="shared" si="75"/>
        <v>2.5999999999999999E-2</v>
      </c>
      <c r="G614" s="89">
        <v>0.26</v>
      </c>
      <c r="H614" s="89">
        <v>0.27900000000000003</v>
      </c>
      <c r="I614" s="89">
        <v>6.0999999999999999E-2</v>
      </c>
      <c r="J614" s="89">
        <v>2.5999999999999999E-2</v>
      </c>
      <c r="K614" s="78">
        <f>(L614*4)</f>
        <v>88300</v>
      </c>
      <c r="L614" s="96">
        <f>L602*1.05</f>
        <v>22075.040000000001</v>
      </c>
      <c r="M614" s="355">
        <f t="shared" si="68"/>
        <v>0.6</v>
      </c>
      <c r="N614" s="355">
        <v>0.26</v>
      </c>
      <c r="O614" s="355">
        <f t="shared" si="69"/>
        <v>0.61</v>
      </c>
      <c r="P614" s="355">
        <v>0.34620000000000001</v>
      </c>
      <c r="Q614" s="355">
        <v>0.69640000000000002</v>
      </c>
      <c r="R614" s="355">
        <v>0.6</v>
      </c>
      <c r="S614" s="355">
        <v>0.61</v>
      </c>
    </row>
    <row r="615" spans="1:19" s="80" customFormat="1">
      <c r="A615" s="79">
        <f t="shared" si="72"/>
        <v>56157</v>
      </c>
      <c r="B615" s="79">
        <f t="shared" si="71"/>
        <v>56521</v>
      </c>
      <c r="C615" s="88">
        <f t="shared" si="75"/>
        <v>0.26</v>
      </c>
      <c r="D615" s="88">
        <f t="shared" si="75"/>
        <v>0.27900000000000003</v>
      </c>
      <c r="E615" s="88">
        <f t="shared" si="75"/>
        <v>6.0999999999999999E-2</v>
      </c>
      <c r="F615" s="88">
        <f t="shared" si="75"/>
        <v>2.5999999999999999E-2</v>
      </c>
      <c r="G615" s="89">
        <v>0.26</v>
      </c>
      <c r="H615" s="89">
        <v>0.27900000000000003</v>
      </c>
      <c r="I615" s="89">
        <v>6.0999999999999999E-2</v>
      </c>
      <c r="J615" s="89">
        <v>2.5999999999999999E-2</v>
      </c>
      <c r="K615" s="78">
        <f>((11/3)*L614)+((1/3)*L626)</f>
        <v>88668</v>
      </c>
      <c r="L615" s="96"/>
      <c r="M615" s="355">
        <f t="shared" si="68"/>
        <v>0.6</v>
      </c>
      <c r="N615" s="355">
        <v>0.26</v>
      </c>
      <c r="O615" s="355">
        <f t="shared" si="69"/>
        <v>0.61</v>
      </c>
      <c r="P615" s="355">
        <v>0.34620000000000001</v>
      </c>
      <c r="Q615" s="355">
        <v>0.69640000000000002</v>
      </c>
      <c r="R615" s="355">
        <v>0.6</v>
      </c>
      <c r="S615" s="355">
        <v>0.61</v>
      </c>
    </row>
    <row r="616" spans="1:19" s="80" customFormat="1">
      <c r="A616" s="79">
        <f t="shared" si="72"/>
        <v>56188</v>
      </c>
      <c r="B616" s="79">
        <f t="shared" si="71"/>
        <v>56552</v>
      </c>
      <c r="C616" s="88">
        <f t="shared" si="75"/>
        <v>0.26</v>
      </c>
      <c r="D616" s="88">
        <f t="shared" si="75"/>
        <v>0.27900000000000003</v>
      </c>
      <c r="E616" s="88">
        <f t="shared" si="75"/>
        <v>6.0999999999999999E-2</v>
      </c>
      <c r="F616" s="88">
        <f t="shared" si="75"/>
        <v>2.5999999999999999E-2</v>
      </c>
      <c r="G616" s="89">
        <v>0.26</v>
      </c>
      <c r="H616" s="89">
        <v>0.27900000000000003</v>
      </c>
      <c r="I616" s="89">
        <v>6.0999999999999999E-2</v>
      </c>
      <c r="J616" s="89">
        <v>2.5999999999999999E-2</v>
      </c>
      <c r="K616" s="78">
        <f>((10/3)*L614)+((2/3)*L626)</f>
        <v>89036</v>
      </c>
      <c r="L616" s="96"/>
      <c r="M616" s="355">
        <f t="shared" si="68"/>
        <v>0.6</v>
      </c>
      <c r="N616" s="355">
        <v>0.26</v>
      </c>
      <c r="O616" s="355">
        <f t="shared" si="69"/>
        <v>0.61</v>
      </c>
      <c r="P616" s="355">
        <v>0.34620000000000001</v>
      </c>
      <c r="Q616" s="355">
        <v>0.69640000000000002</v>
      </c>
      <c r="R616" s="355">
        <v>0.6</v>
      </c>
      <c r="S616" s="355">
        <v>0.61</v>
      </c>
    </row>
    <row r="617" spans="1:19" s="80" customFormat="1">
      <c r="A617" s="79">
        <f t="shared" si="72"/>
        <v>56218</v>
      </c>
      <c r="B617" s="79">
        <f t="shared" si="71"/>
        <v>56582</v>
      </c>
      <c r="C617" s="88">
        <f t="shared" si="75"/>
        <v>0.26</v>
      </c>
      <c r="D617" s="88">
        <f t="shared" si="75"/>
        <v>0.27900000000000003</v>
      </c>
      <c r="E617" s="88">
        <f t="shared" si="75"/>
        <v>6.0999999999999999E-2</v>
      </c>
      <c r="F617" s="88">
        <f t="shared" si="75"/>
        <v>2.5999999999999999E-2</v>
      </c>
      <c r="G617" s="89">
        <v>0.26</v>
      </c>
      <c r="H617" s="89">
        <v>0.27900000000000003</v>
      </c>
      <c r="I617" s="89">
        <v>6.0999999999999999E-2</v>
      </c>
      <c r="J617" s="89">
        <v>2.5999999999999999E-2</v>
      </c>
      <c r="K617" s="78">
        <f>((9/3)*L614)+((3/3)*L626)</f>
        <v>89404</v>
      </c>
      <c r="L617" s="96"/>
      <c r="M617" s="355">
        <f t="shared" si="68"/>
        <v>0.6</v>
      </c>
      <c r="N617" s="355">
        <v>0.26</v>
      </c>
      <c r="O617" s="355">
        <f t="shared" si="69"/>
        <v>0.61</v>
      </c>
      <c r="P617" s="355">
        <v>0.34620000000000001</v>
      </c>
      <c r="Q617" s="355">
        <v>0.69640000000000002</v>
      </c>
      <c r="R617" s="355">
        <v>0.6</v>
      </c>
      <c r="S617" s="355">
        <v>0.61</v>
      </c>
    </row>
    <row r="618" spans="1:19" s="80" customFormat="1">
      <c r="A618" s="79">
        <f t="shared" si="72"/>
        <v>56249</v>
      </c>
      <c r="B618" s="79">
        <f t="shared" si="71"/>
        <v>56613</v>
      </c>
      <c r="C618" s="88">
        <f t="shared" si="75"/>
        <v>0.26</v>
      </c>
      <c r="D618" s="88">
        <f t="shared" si="75"/>
        <v>0.27900000000000003</v>
      </c>
      <c r="E618" s="88">
        <f t="shared" si="75"/>
        <v>6.0999999999999999E-2</v>
      </c>
      <c r="F618" s="88">
        <f t="shared" si="75"/>
        <v>2.5999999999999999E-2</v>
      </c>
      <c r="G618" s="89">
        <v>0.26</v>
      </c>
      <c r="H618" s="89">
        <v>0.27900000000000003</v>
      </c>
      <c r="I618" s="89">
        <v>6.0999999999999999E-2</v>
      </c>
      <c r="J618" s="89">
        <v>2.5999999999999999E-2</v>
      </c>
      <c r="K618" s="78">
        <f>((8/3)*L614)+((4/3)*L626)</f>
        <v>89772</v>
      </c>
      <c r="L618" s="96"/>
      <c r="M618" s="355">
        <f t="shared" si="68"/>
        <v>0.6</v>
      </c>
      <c r="N618" s="355">
        <v>0.26</v>
      </c>
      <c r="O618" s="355">
        <f t="shared" si="69"/>
        <v>0.61</v>
      </c>
      <c r="P618" s="355">
        <v>0.34620000000000001</v>
      </c>
      <c r="Q618" s="355">
        <v>0.69640000000000002</v>
      </c>
      <c r="R618" s="355">
        <v>0.6</v>
      </c>
      <c r="S618" s="355">
        <v>0.61</v>
      </c>
    </row>
    <row r="619" spans="1:19" s="80" customFormat="1">
      <c r="A619" s="79">
        <f t="shared" si="72"/>
        <v>56280</v>
      </c>
      <c r="B619" s="79">
        <f t="shared" si="71"/>
        <v>56644</v>
      </c>
      <c r="C619" s="88">
        <f t="shared" si="75"/>
        <v>0.26</v>
      </c>
      <c r="D619" s="88">
        <f t="shared" si="75"/>
        <v>0.27900000000000003</v>
      </c>
      <c r="E619" s="88">
        <f t="shared" si="75"/>
        <v>6.0999999999999999E-2</v>
      </c>
      <c r="F619" s="88">
        <f t="shared" si="75"/>
        <v>2.5999999999999999E-2</v>
      </c>
      <c r="G619" s="89">
        <v>0.26</v>
      </c>
      <c r="H619" s="89">
        <v>0.27900000000000003</v>
      </c>
      <c r="I619" s="89">
        <v>6.0999999999999999E-2</v>
      </c>
      <c r="J619" s="89">
        <v>2.5999999999999999E-2</v>
      </c>
      <c r="K619" s="78">
        <f>((7/3)*L614)+((5/3)*L626)</f>
        <v>90140</v>
      </c>
      <c r="L619" s="96"/>
      <c r="M619" s="355">
        <f t="shared" si="68"/>
        <v>0.6</v>
      </c>
      <c r="N619" s="355">
        <v>0.26</v>
      </c>
      <c r="O619" s="355">
        <f t="shared" si="69"/>
        <v>0.61</v>
      </c>
      <c r="P619" s="355">
        <v>0.34620000000000001</v>
      </c>
      <c r="Q619" s="355">
        <v>0.69640000000000002</v>
      </c>
      <c r="R619" s="355">
        <v>0.6</v>
      </c>
      <c r="S619" s="355">
        <v>0.61</v>
      </c>
    </row>
    <row r="620" spans="1:19" s="80" customFormat="1">
      <c r="A620" s="79">
        <f t="shared" si="72"/>
        <v>56308</v>
      </c>
      <c r="B620" s="79">
        <f t="shared" si="71"/>
        <v>56672</v>
      </c>
      <c r="C620" s="88">
        <f t="shared" si="75"/>
        <v>0.26</v>
      </c>
      <c r="D620" s="88">
        <f t="shared" si="75"/>
        <v>0.27900000000000003</v>
      </c>
      <c r="E620" s="88">
        <f t="shared" si="75"/>
        <v>6.0999999999999999E-2</v>
      </c>
      <c r="F620" s="88">
        <f t="shared" si="75"/>
        <v>2.5999999999999999E-2</v>
      </c>
      <c r="G620" s="89">
        <v>0.26</v>
      </c>
      <c r="H620" s="89">
        <v>0.27900000000000003</v>
      </c>
      <c r="I620" s="89">
        <v>6.0999999999999999E-2</v>
      </c>
      <c r="J620" s="89">
        <v>2.5999999999999999E-2</v>
      </c>
      <c r="K620" s="78">
        <f>((6/3)*L614)+((6/3)*L626)</f>
        <v>90508</v>
      </c>
      <c r="L620" s="96"/>
      <c r="M620" s="355">
        <f t="shared" si="68"/>
        <v>0.6</v>
      </c>
      <c r="N620" s="355">
        <v>0.26</v>
      </c>
      <c r="O620" s="355">
        <f t="shared" si="69"/>
        <v>0.61</v>
      </c>
      <c r="P620" s="355">
        <v>0.34620000000000001</v>
      </c>
      <c r="Q620" s="355">
        <v>0.69640000000000002</v>
      </c>
      <c r="R620" s="355">
        <v>0.6</v>
      </c>
      <c r="S620" s="355">
        <v>0.61</v>
      </c>
    </row>
    <row r="621" spans="1:19" s="80" customFormat="1">
      <c r="A621" s="79">
        <f t="shared" si="72"/>
        <v>56339</v>
      </c>
      <c r="B621" s="79">
        <f t="shared" si="71"/>
        <v>56703</v>
      </c>
      <c r="C621" s="88">
        <f t="shared" si="75"/>
        <v>0.26</v>
      </c>
      <c r="D621" s="88">
        <f t="shared" si="75"/>
        <v>0.27900000000000003</v>
      </c>
      <c r="E621" s="88">
        <f t="shared" si="75"/>
        <v>6.0999999999999999E-2</v>
      </c>
      <c r="F621" s="88">
        <f t="shared" si="75"/>
        <v>2.5999999999999999E-2</v>
      </c>
      <c r="G621" s="89">
        <v>0.26</v>
      </c>
      <c r="H621" s="89">
        <v>0.27900000000000003</v>
      </c>
      <c r="I621" s="89">
        <v>6.0999999999999999E-2</v>
      </c>
      <c r="J621" s="89">
        <v>2.5999999999999999E-2</v>
      </c>
      <c r="K621" s="78">
        <f>((5/3)*L614)+((7/3)*L626)</f>
        <v>90876</v>
      </c>
      <c r="L621" s="96"/>
      <c r="M621" s="355">
        <f t="shared" si="68"/>
        <v>0.6</v>
      </c>
      <c r="N621" s="355">
        <v>0.26</v>
      </c>
      <c r="O621" s="355">
        <f t="shared" si="69"/>
        <v>0.61</v>
      </c>
      <c r="P621" s="355">
        <v>0.34620000000000001</v>
      </c>
      <c r="Q621" s="355">
        <v>0.69640000000000002</v>
      </c>
      <c r="R621" s="355">
        <v>0.6</v>
      </c>
      <c r="S621" s="355">
        <v>0.61</v>
      </c>
    </row>
    <row r="622" spans="1:19" s="80" customFormat="1">
      <c r="A622" s="79">
        <f t="shared" si="72"/>
        <v>56369</v>
      </c>
      <c r="B622" s="79">
        <f t="shared" si="71"/>
        <v>56733</v>
      </c>
      <c r="C622" s="88">
        <f t="shared" si="75"/>
        <v>0.26</v>
      </c>
      <c r="D622" s="88">
        <f t="shared" si="75"/>
        <v>0.27900000000000003</v>
      </c>
      <c r="E622" s="88">
        <f t="shared" si="75"/>
        <v>6.0999999999999999E-2</v>
      </c>
      <c r="F622" s="88">
        <f t="shared" si="75"/>
        <v>2.5999999999999999E-2</v>
      </c>
      <c r="G622" s="89">
        <v>0.26</v>
      </c>
      <c r="H622" s="89">
        <v>0.27900000000000003</v>
      </c>
      <c r="I622" s="89">
        <v>6.0999999999999999E-2</v>
      </c>
      <c r="J622" s="89">
        <v>2.5999999999999999E-2</v>
      </c>
      <c r="K622" s="78">
        <f>((4/3)*L614)+((8/3)*L626)</f>
        <v>91243</v>
      </c>
      <c r="L622" s="96"/>
      <c r="M622" s="355">
        <f t="shared" si="68"/>
        <v>0.6</v>
      </c>
      <c r="N622" s="355">
        <v>0.26</v>
      </c>
      <c r="O622" s="355">
        <f t="shared" si="69"/>
        <v>0.61</v>
      </c>
      <c r="P622" s="355">
        <v>0.34620000000000001</v>
      </c>
      <c r="Q622" s="355">
        <v>0.69640000000000002</v>
      </c>
      <c r="R622" s="355">
        <v>0.6</v>
      </c>
      <c r="S622" s="355">
        <v>0.61</v>
      </c>
    </row>
    <row r="623" spans="1:19" s="80" customFormat="1">
      <c r="A623" s="79">
        <f t="shared" si="72"/>
        <v>56400</v>
      </c>
      <c r="B623" s="79">
        <f t="shared" si="71"/>
        <v>56764</v>
      </c>
      <c r="C623" s="88">
        <f t="shared" si="75"/>
        <v>0.26</v>
      </c>
      <c r="D623" s="88">
        <f t="shared" si="75"/>
        <v>0.27900000000000003</v>
      </c>
      <c r="E623" s="88">
        <f t="shared" si="75"/>
        <v>6.0999999999999999E-2</v>
      </c>
      <c r="F623" s="88">
        <f t="shared" si="75"/>
        <v>2.5999999999999999E-2</v>
      </c>
      <c r="G623" s="89">
        <v>0.26</v>
      </c>
      <c r="H623" s="89">
        <v>0.27900000000000003</v>
      </c>
      <c r="I623" s="89">
        <v>6.0999999999999999E-2</v>
      </c>
      <c r="J623" s="89">
        <v>2.5999999999999999E-2</v>
      </c>
      <c r="K623" s="78">
        <f>((3/3)*L614)+((9/3)*L626)</f>
        <v>91611</v>
      </c>
      <c r="L623" s="96"/>
      <c r="M623" s="355">
        <f t="shared" ref="M623:M686" si="76">AVERAGE(R623:R634)</f>
        <v>0.6</v>
      </c>
      <c r="N623" s="355">
        <v>0.26</v>
      </c>
      <c r="O623" s="355">
        <f t="shared" ref="O623:O686" si="77">AVERAGE(S623:S634)</f>
        <v>0.61</v>
      </c>
      <c r="P623" s="355">
        <v>0.34620000000000001</v>
      </c>
      <c r="Q623" s="355">
        <v>0.69640000000000002</v>
      </c>
      <c r="R623" s="355">
        <v>0.6</v>
      </c>
      <c r="S623" s="355">
        <v>0.61</v>
      </c>
    </row>
    <row r="624" spans="1:19" s="80" customFormat="1">
      <c r="A624" s="79">
        <f t="shared" si="72"/>
        <v>56430</v>
      </c>
      <c r="B624" s="79">
        <f t="shared" si="71"/>
        <v>56794</v>
      </c>
      <c r="C624" s="88">
        <f t="shared" si="75"/>
        <v>0.26</v>
      </c>
      <c r="D624" s="88">
        <f t="shared" si="75"/>
        <v>0.27900000000000003</v>
      </c>
      <c r="E624" s="88">
        <f t="shared" si="75"/>
        <v>6.0999999999999999E-2</v>
      </c>
      <c r="F624" s="88">
        <f t="shared" si="75"/>
        <v>2.5999999999999999E-2</v>
      </c>
      <c r="G624" s="89">
        <v>0.26</v>
      </c>
      <c r="H624" s="89">
        <v>0.27900000000000003</v>
      </c>
      <c r="I624" s="89">
        <v>6.0999999999999999E-2</v>
      </c>
      <c r="J624" s="89">
        <v>2.5999999999999999E-2</v>
      </c>
      <c r="K624" s="78">
        <f>((2/3)*L614)+((10/3)*L626)</f>
        <v>91979</v>
      </c>
      <c r="L624" s="96"/>
      <c r="M624" s="355">
        <f t="shared" si="76"/>
        <v>0.6</v>
      </c>
      <c r="N624" s="355">
        <v>0.26</v>
      </c>
      <c r="O624" s="355">
        <f t="shared" si="77"/>
        <v>0.61</v>
      </c>
      <c r="P624" s="355">
        <v>0.34620000000000001</v>
      </c>
      <c r="Q624" s="355">
        <v>0.69640000000000002</v>
      </c>
      <c r="R624" s="355">
        <v>0.6</v>
      </c>
      <c r="S624" s="355">
        <v>0.61</v>
      </c>
    </row>
    <row r="625" spans="1:19" s="80" customFormat="1">
      <c r="A625" s="79">
        <f t="shared" si="72"/>
        <v>56461</v>
      </c>
      <c r="B625" s="79">
        <f t="shared" si="71"/>
        <v>56825</v>
      </c>
      <c r="C625" s="88">
        <f t="shared" si="75"/>
        <v>0.26</v>
      </c>
      <c r="D625" s="88">
        <f t="shared" si="75"/>
        <v>0.27900000000000003</v>
      </c>
      <c r="E625" s="88">
        <f t="shared" si="75"/>
        <v>6.0999999999999999E-2</v>
      </c>
      <c r="F625" s="88">
        <f t="shared" si="75"/>
        <v>2.5999999999999999E-2</v>
      </c>
      <c r="G625" s="89">
        <v>0.26</v>
      </c>
      <c r="H625" s="89">
        <v>0.27900000000000003</v>
      </c>
      <c r="I625" s="89">
        <v>6.0999999999999999E-2</v>
      </c>
      <c r="J625" s="89">
        <v>2.5999999999999999E-2</v>
      </c>
      <c r="K625" s="78">
        <f>((1/3)*L614)+((11/3)*L626)</f>
        <v>92347</v>
      </c>
      <c r="L625" s="96"/>
      <c r="M625" s="355">
        <f t="shared" si="76"/>
        <v>0.6</v>
      </c>
      <c r="N625" s="355">
        <v>0.26</v>
      </c>
      <c r="O625" s="355">
        <f t="shared" si="77"/>
        <v>0.61</v>
      </c>
      <c r="P625" s="355">
        <v>0.34620000000000001</v>
      </c>
      <c r="Q625" s="355">
        <v>0.69640000000000002</v>
      </c>
      <c r="R625" s="355">
        <v>0.6</v>
      </c>
      <c r="S625" s="355">
        <v>0.61</v>
      </c>
    </row>
    <row r="626" spans="1:19">
      <c r="A626" s="19">
        <f t="shared" si="72"/>
        <v>56492</v>
      </c>
      <c r="B626" s="19">
        <f t="shared" si="71"/>
        <v>56856</v>
      </c>
      <c r="C626" s="86">
        <f t="shared" si="75"/>
        <v>0.26</v>
      </c>
      <c r="D626" s="86">
        <f t="shared" si="75"/>
        <v>0.27900000000000003</v>
      </c>
      <c r="E626" s="86">
        <f t="shared" si="75"/>
        <v>6.0999999999999999E-2</v>
      </c>
      <c r="F626" s="86">
        <f t="shared" si="75"/>
        <v>2.5999999999999999E-2</v>
      </c>
      <c r="G626" s="87">
        <v>0.26</v>
      </c>
      <c r="H626" s="87">
        <v>0.27900000000000003</v>
      </c>
      <c r="I626" s="87">
        <v>6.0999999999999999E-2</v>
      </c>
      <c r="J626" s="87">
        <v>2.5999999999999999E-2</v>
      </c>
      <c r="K626" s="25">
        <f>(L626*4)</f>
        <v>92715</v>
      </c>
      <c r="L626" s="95">
        <f>L614*1.05</f>
        <v>23178.79</v>
      </c>
      <c r="M626" s="82">
        <f t="shared" si="76"/>
        <v>0.6</v>
      </c>
      <c r="N626" s="82">
        <v>0.26</v>
      </c>
      <c r="O626" s="82">
        <f t="shared" si="77"/>
        <v>0.61</v>
      </c>
      <c r="P626" s="82">
        <v>0.34620000000000001</v>
      </c>
      <c r="Q626" s="82">
        <v>0.69640000000000002</v>
      </c>
      <c r="R626" s="82">
        <v>0.6</v>
      </c>
      <c r="S626" s="82">
        <v>0.61</v>
      </c>
    </row>
    <row r="627" spans="1:19">
      <c r="A627" s="19">
        <f t="shared" si="72"/>
        <v>56522</v>
      </c>
      <c r="B627" s="19">
        <f t="shared" si="71"/>
        <v>56886</v>
      </c>
      <c r="C627" s="86">
        <f t="shared" ref="C627:F642" si="78">AVERAGE(G627:G638)</f>
        <v>0.26</v>
      </c>
      <c r="D627" s="86">
        <f t="shared" si="78"/>
        <v>0.27900000000000003</v>
      </c>
      <c r="E627" s="86">
        <f t="shared" si="78"/>
        <v>6.0999999999999999E-2</v>
      </c>
      <c r="F627" s="86">
        <f t="shared" si="78"/>
        <v>2.5999999999999999E-2</v>
      </c>
      <c r="G627" s="87">
        <v>0.26</v>
      </c>
      <c r="H627" s="87">
        <v>0.27900000000000003</v>
      </c>
      <c r="I627" s="87">
        <v>6.0999999999999999E-2</v>
      </c>
      <c r="J627" s="87">
        <v>2.5999999999999999E-2</v>
      </c>
      <c r="K627" s="25">
        <f>((11/3)*L626)+((1/3)*L638)</f>
        <v>93101</v>
      </c>
      <c r="L627" s="95"/>
      <c r="M627" s="82">
        <f t="shared" si="76"/>
        <v>0.6</v>
      </c>
      <c r="N627" s="82">
        <v>0.26</v>
      </c>
      <c r="O627" s="82">
        <f t="shared" si="77"/>
        <v>0.61</v>
      </c>
      <c r="P627" s="82">
        <v>0.34620000000000001</v>
      </c>
      <c r="Q627" s="82">
        <v>0.69640000000000002</v>
      </c>
      <c r="R627" s="82">
        <v>0.6</v>
      </c>
      <c r="S627" s="82">
        <v>0.61</v>
      </c>
    </row>
    <row r="628" spans="1:19">
      <c r="A628" s="19">
        <f t="shared" si="72"/>
        <v>56553</v>
      </c>
      <c r="B628" s="19">
        <f t="shared" si="71"/>
        <v>56917</v>
      </c>
      <c r="C628" s="86">
        <f t="shared" si="78"/>
        <v>0.26</v>
      </c>
      <c r="D628" s="86">
        <f t="shared" si="78"/>
        <v>0.27900000000000003</v>
      </c>
      <c r="E628" s="86">
        <f t="shared" si="78"/>
        <v>6.0999999999999999E-2</v>
      </c>
      <c r="F628" s="86">
        <f t="shared" si="78"/>
        <v>2.5999999999999999E-2</v>
      </c>
      <c r="G628" s="87">
        <v>0.26</v>
      </c>
      <c r="H628" s="87">
        <v>0.27900000000000003</v>
      </c>
      <c r="I628" s="87">
        <v>6.0999999999999999E-2</v>
      </c>
      <c r="J628" s="87">
        <v>2.5999999999999999E-2</v>
      </c>
      <c r="K628" s="25">
        <f>((10/3)*L626)+((2/3)*L638)</f>
        <v>93488</v>
      </c>
      <c r="L628" s="95"/>
      <c r="M628" s="82">
        <f t="shared" si="76"/>
        <v>0.6</v>
      </c>
      <c r="N628" s="82">
        <v>0.26</v>
      </c>
      <c r="O628" s="82">
        <f t="shared" si="77"/>
        <v>0.61</v>
      </c>
      <c r="P628" s="82">
        <v>0.34620000000000001</v>
      </c>
      <c r="Q628" s="82">
        <v>0.69640000000000002</v>
      </c>
      <c r="R628" s="82">
        <v>0.6</v>
      </c>
      <c r="S628" s="82">
        <v>0.61</v>
      </c>
    </row>
    <row r="629" spans="1:19">
      <c r="A629" s="19">
        <f t="shared" si="72"/>
        <v>56583</v>
      </c>
      <c r="B629" s="19">
        <f t="shared" si="71"/>
        <v>56947</v>
      </c>
      <c r="C629" s="86">
        <f t="shared" si="78"/>
        <v>0.26</v>
      </c>
      <c r="D629" s="86">
        <f t="shared" si="78"/>
        <v>0.27900000000000003</v>
      </c>
      <c r="E629" s="86">
        <f t="shared" si="78"/>
        <v>6.0999999999999999E-2</v>
      </c>
      <c r="F629" s="86">
        <f t="shared" si="78"/>
        <v>2.5999999999999999E-2</v>
      </c>
      <c r="G629" s="87">
        <v>0.26</v>
      </c>
      <c r="H629" s="87">
        <v>0.27900000000000003</v>
      </c>
      <c r="I629" s="87">
        <v>6.0999999999999999E-2</v>
      </c>
      <c r="J629" s="87">
        <v>2.5999999999999999E-2</v>
      </c>
      <c r="K629" s="25">
        <f>((9/3)*L626)+((3/3)*L638)</f>
        <v>93874</v>
      </c>
      <c r="L629" s="95"/>
      <c r="M629" s="82">
        <f t="shared" si="76"/>
        <v>0.6</v>
      </c>
      <c r="N629" s="82">
        <v>0.26</v>
      </c>
      <c r="O629" s="82">
        <f t="shared" si="77"/>
        <v>0.61</v>
      </c>
      <c r="P629" s="82">
        <v>0.34620000000000001</v>
      </c>
      <c r="Q629" s="82">
        <v>0.69640000000000002</v>
      </c>
      <c r="R629" s="82">
        <v>0.6</v>
      </c>
      <c r="S629" s="82">
        <v>0.61</v>
      </c>
    </row>
    <row r="630" spans="1:19">
      <c r="A630" s="19">
        <f t="shared" si="72"/>
        <v>56614</v>
      </c>
      <c r="B630" s="19">
        <f t="shared" si="71"/>
        <v>56978</v>
      </c>
      <c r="C630" s="86">
        <f t="shared" si="78"/>
        <v>0.26</v>
      </c>
      <c r="D630" s="86">
        <f t="shared" si="78"/>
        <v>0.27900000000000003</v>
      </c>
      <c r="E630" s="86">
        <f t="shared" si="78"/>
        <v>6.0999999999999999E-2</v>
      </c>
      <c r="F630" s="86">
        <f t="shared" si="78"/>
        <v>2.5999999999999999E-2</v>
      </c>
      <c r="G630" s="87">
        <v>0.26</v>
      </c>
      <c r="H630" s="87">
        <v>0.27900000000000003</v>
      </c>
      <c r="I630" s="87">
        <v>6.0999999999999999E-2</v>
      </c>
      <c r="J630" s="87">
        <v>2.5999999999999999E-2</v>
      </c>
      <c r="K630" s="25">
        <f>((8/3)*L626)+((4/3)*L638)</f>
        <v>94260</v>
      </c>
      <c r="L630" s="95"/>
      <c r="M630" s="82">
        <f t="shared" si="76"/>
        <v>0.6</v>
      </c>
      <c r="N630" s="82">
        <v>0.26</v>
      </c>
      <c r="O630" s="82">
        <f t="shared" si="77"/>
        <v>0.61</v>
      </c>
      <c r="P630" s="82">
        <v>0.34620000000000001</v>
      </c>
      <c r="Q630" s="82">
        <v>0.69640000000000002</v>
      </c>
      <c r="R630" s="82">
        <v>0.6</v>
      </c>
      <c r="S630" s="82">
        <v>0.61</v>
      </c>
    </row>
    <row r="631" spans="1:19">
      <c r="A631" s="19">
        <f t="shared" si="72"/>
        <v>56645</v>
      </c>
      <c r="B631" s="19">
        <f t="shared" si="71"/>
        <v>57009</v>
      </c>
      <c r="C631" s="86">
        <f t="shared" si="78"/>
        <v>0.26</v>
      </c>
      <c r="D631" s="86">
        <f t="shared" si="78"/>
        <v>0.27900000000000003</v>
      </c>
      <c r="E631" s="86">
        <f t="shared" si="78"/>
        <v>6.0999999999999999E-2</v>
      </c>
      <c r="F631" s="86">
        <f t="shared" si="78"/>
        <v>2.5999999999999999E-2</v>
      </c>
      <c r="G631" s="87">
        <v>0.26</v>
      </c>
      <c r="H631" s="87">
        <v>0.27900000000000003</v>
      </c>
      <c r="I631" s="87">
        <v>6.0999999999999999E-2</v>
      </c>
      <c r="J631" s="87">
        <v>2.5999999999999999E-2</v>
      </c>
      <c r="K631" s="25">
        <f>((7/3)*L626)+((5/3)*L638)</f>
        <v>94647</v>
      </c>
      <c r="L631" s="95"/>
      <c r="M631" s="82">
        <f t="shared" si="76"/>
        <v>0.6</v>
      </c>
      <c r="N631" s="82">
        <v>0.26</v>
      </c>
      <c r="O631" s="82">
        <f t="shared" si="77"/>
        <v>0.61</v>
      </c>
      <c r="P631" s="82">
        <v>0.34620000000000001</v>
      </c>
      <c r="Q631" s="82">
        <v>0.69640000000000002</v>
      </c>
      <c r="R631" s="82">
        <v>0.6</v>
      </c>
      <c r="S631" s="82">
        <v>0.61</v>
      </c>
    </row>
    <row r="632" spans="1:19">
      <c r="A632" s="19">
        <f t="shared" si="72"/>
        <v>56673</v>
      </c>
      <c r="B632" s="19">
        <f t="shared" si="71"/>
        <v>57038</v>
      </c>
      <c r="C632" s="86">
        <f t="shared" si="78"/>
        <v>0.26</v>
      </c>
      <c r="D632" s="86">
        <f t="shared" si="78"/>
        <v>0.27900000000000003</v>
      </c>
      <c r="E632" s="86">
        <f t="shared" si="78"/>
        <v>6.0999999999999999E-2</v>
      </c>
      <c r="F632" s="86">
        <f t="shared" si="78"/>
        <v>2.5999999999999999E-2</v>
      </c>
      <c r="G632" s="87">
        <v>0.26</v>
      </c>
      <c r="H632" s="87">
        <v>0.27900000000000003</v>
      </c>
      <c r="I632" s="87">
        <v>6.0999999999999999E-2</v>
      </c>
      <c r="J632" s="87">
        <v>2.5999999999999999E-2</v>
      </c>
      <c r="K632" s="25">
        <f>((6/3)*L626)+((6/3)*L638)</f>
        <v>95033</v>
      </c>
      <c r="L632" s="95"/>
      <c r="M632" s="82">
        <f t="shared" si="76"/>
        <v>0.6</v>
      </c>
      <c r="N632" s="82">
        <v>0.26</v>
      </c>
      <c r="O632" s="82">
        <f t="shared" si="77"/>
        <v>0.61</v>
      </c>
      <c r="P632" s="82">
        <v>0.34620000000000001</v>
      </c>
      <c r="Q632" s="82">
        <v>0.69640000000000002</v>
      </c>
      <c r="R632" s="82">
        <v>0.6</v>
      </c>
      <c r="S632" s="82">
        <v>0.61</v>
      </c>
    </row>
    <row r="633" spans="1:19">
      <c r="A633" s="19">
        <f t="shared" si="72"/>
        <v>56704</v>
      </c>
      <c r="B633" s="19">
        <f t="shared" si="71"/>
        <v>57069</v>
      </c>
      <c r="C633" s="86">
        <f t="shared" si="78"/>
        <v>0.26</v>
      </c>
      <c r="D633" s="86">
        <f t="shared" si="78"/>
        <v>0.27900000000000003</v>
      </c>
      <c r="E633" s="86">
        <f t="shared" si="78"/>
        <v>6.0999999999999999E-2</v>
      </c>
      <c r="F633" s="86">
        <f t="shared" si="78"/>
        <v>2.5999999999999999E-2</v>
      </c>
      <c r="G633" s="87">
        <v>0.26</v>
      </c>
      <c r="H633" s="87">
        <v>0.27900000000000003</v>
      </c>
      <c r="I633" s="87">
        <v>6.0999999999999999E-2</v>
      </c>
      <c r="J633" s="87">
        <v>2.5999999999999999E-2</v>
      </c>
      <c r="K633" s="25">
        <f>((5/3)*L626)+((7/3)*L638)</f>
        <v>95419</v>
      </c>
      <c r="L633" s="95"/>
      <c r="M633" s="82">
        <f t="shared" si="76"/>
        <v>0.6</v>
      </c>
      <c r="N633" s="82">
        <v>0.26</v>
      </c>
      <c r="O633" s="82">
        <f t="shared" si="77"/>
        <v>0.61</v>
      </c>
      <c r="P633" s="82">
        <v>0.34620000000000001</v>
      </c>
      <c r="Q633" s="82">
        <v>0.69640000000000002</v>
      </c>
      <c r="R633" s="82">
        <v>0.6</v>
      </c>
      <c r="S633" s="82">
        <v>0.61</v>
      </c>
    </row>
    <row r="634" spans="1:19">
      <c r="A634" s="19">
        <f t="shared" si="72"/>
        <v>56734</v>
      </c>
      <c r="B634" s="19">
        <f t="shared" si="71"/>
        <v>57099</v>
      </c>
      <c r="C634" s="86">
        <f t="shared" si="78"/>
        <v>0.26</v>
      </c>
      <c r="D634" s="86">
        <f t="shared" si="78"/>
        <v>0.27900000000000003</v>
      </c>
      <c r="E634" s="86">
        <f t="shared" si="78"/>
        <v>6.0999999999999999E-2</v>
      </c>
      <c r="F634" s="86">
        <f t="shared" si="78"/>
        <v>2.5999999999999999E-2</v>
      </c>
      <c r="G634" s="87">
        <v>0.26</v>
      </c>
      <c r="H634" s="87">
        <v>0.27900000000000003</v>
      </c>
      <c r="I634" s="87">
        <v>6.0999999999999999E-2</v>
      </c>
      <c r="J634" s="87">
        <v>2.5999999999999999E-2</v>
      </c>
      <c r="K634" s="25">
        <f>((4/3)*L626)+((8/3)*L638)</f>
        <v>95806</v>
      </c>
      <c r="L634" s="95"/>
      <c r="M634" s="82">
        <f t="shared" si="76"/>
        <v>0.6</v>
      </c>
      <c r="N634" s="82">
        <v>0.26</v>
      </c>
      <c r="O634" s="82">
        <f t="shared" si="77"/>
        <v>0.61</v>
      </c>
      <c r="P634" s="82">
        <v>0.34620000000000001</v>
      </c>
      <c r="Q634" s="82">
        <v>0.69640000000000002</v>
      </c>
      <c r="R634" s="82">
        <v>0.6</v>
      </c>
      <c r="S634" s="82">
        <v>0.61</v>
      </c>
    </row>
    <row r="635" spans="1:19">
      <c r="A635" s="19">
        <f t="shared" si="72"/>
        <v>56765</v>
      </c>
      <c r="B635" s="19">
        <f t="shared" si="71"/>
        <v>57130</v>
      </c>
      <c r="C635" s="86">
        <f t="shared" si="78"/>
        <v>0.26</v>
      </c>
      <c r="D635" s="86">
        <f t="shared" si="78"/>
        <v>0.27900000000000003</v>
      </c>
      <c r="E635" s="86">
        <f t="shared" si="78"/>
        <v>6.0999999999999999E-2</v>
      </c>
      <c r="F635" s="86">
        <f t="shared" si="78"/>
        <v>2.5999999999999999E-2</v>
      </c>
      <c r="G635" s="87">
        <v>0.26</v>
      </c>
      <c r="H635" s="87">
        <v>0.27900000000000003</v>
      </c>
      <c r="I635" s="87">
        <v>6.0999999999999999E-2</v>
      </c>
      <c r="J635" s="87">
        <v>2.5999999999999999E-2</v>
      </c>
      <c r="K635" s="25">
        <f>((3/3)*L626)+((9/3)*L638)</f>
        <v>96192</v>
      </c>
      <c r="L635" s="95"/>
      <c r="M635" s="82">
        <f t="shared" si="76"/>
        <v>0.6</v>
      </c>
      <c r="N635" s="82">
        <v>0.26</v>
      </c>
      <c r="O635" s="82">
        <f t="shared" si="77"/>
        <v>0.61</v>
      </c>
      <c r="P635" s="82">
        <v>0.34620000000000001</v>
      </c>
      <c r="Q635" s="82">
        <v>0.69640000000000002</v>
      </c>
      <c r="R635" s="82">
        <v>0.6</v>
      </c>
      <c r="S635" s="82">
        <v>0.61</v>
      </c>
    </row>
    <row r="636" spans="1:19">
      <c r="A636" s="19">
        <f t="shared" si="72"/>
        <v>56795</v>
      </c>
      <c r="B636" s="19">
        <f t="shared" si="71"/>
        <v>57160</v>
      </c>
      <c r="C636" s="86">
        <f t="shared" si="78"/>
        <v>0.26</v>
      </c>
      <c r="D636" s="86">
        <f t="shared" si="78"/>
        <v>0.27900000000000003</v>
      </c>
      <c r="E636" s="86">
        <f t="shared" si="78"/>
        <v>6.0999999999999999E-2</v>
      </c>
      <c r="F636" s="86">
        <f t="shared" si="78"/>
        <v>2.5999999999999999E-2</v>
      </c>
      <c r="G636" s="87">
        <v>0.26</v>
      </c>
      <c r="H636" s="87">
        <v>0.27900000000000003</v>
      </c>
      <c r="I636" s="87">
        <v>6.0999999999999999E-2</v>
      </c>
      <c r="J636" s="87">
        <v>2.5999999999999999E-2</v>
      </c>
      <c r="K636" s="25">
        <f>((2/3)*L626)+((10/3)*L638)</f>
        <v>96578</v>
      </c>
      <c r="L636" s="95"/>
      <c r="M636" s="82">
        <f t="shared" si="76"/>
        <v>0.6</v>
      </c>
      <c r="N636" s="82">
        <v>0.26</v>
      </c>
      <c r="O636" s="82">
        <f t="shared" si="77"/>
        <v>0.61</v>
      </c>
      <c r="P636" s="82">
        <v>0.34620000000000001</v>
      </c>
      <c r="Q636" s="82">
        <v>0.69640000000000002</v>
      </c>
      <c r="R636" s="82">
        <v>0.6</v>
      </c>
      <c r="S636" s="82">
        <v>0.61</v>
      </c>
    </row>
    <row r="637" spans="1:19">
      <c r="A637" s="19">
        <f t="shared" si="72"/>
        <v>56826</v>
      </c>
      <c r="B637" s="19">
        <f t="shared" si="71"/>
        <v>57191</v>
      </c>
      <c r="C637" s="83">
        <f t="shared" si="78"/>
        <v>0.26</v>
      </c>
      <c r="D637" s="83">
        <f t="shared" si="78"/>
        <v>0.27900000000000003</v>
      </c>
      <c r="E637" s="83">
        <f t="shared" si="78"/>
        <v>6.0999999999999999E-2</v>
      </c>
      <c r="F637" s="83">
        <f t="shared" si="78"/>
        <v>2.5999999999999999E-2</v>
      </c>
      <c r="G637" s="87">
        <v>0.26</v>
      </c>
      <c r="H637" s="87">
        <v>0.27900000000000003</v>
      </c>
      <c r="I637" s="87">
        <v>6.0999999999999999E-2</v>
      </c>
      <c r="J637" s="87">
        <v>2.5999999999999999E-2</v>
      </c>
      <c r="K637" s="25">
        <f>((1/3)*L626)+((11/3)*L638)</f>
        <v>96965</v>
      </c>
      <c r="L637" s="95"/>
      <c r="M637" s="82">
        <f t="shared" si="76"/>
        <v>0.6</v>
      </c>
      <c r="N637" s="82">
        <v>0.26</v>
      </c>
      <c r="O637" s="82">
        <f t="shared" si="77"/>
        <v>0.61</v>
      </c>
      <c r="P637" s="82">
        <v>0.34620000000000001</v>
      </c>
      <c r="Q637" s="82">
        <v>0.69640000000000002</v>
      </c>
      <c r="R637" s="82">
        <v>0.6</v>
      </c>
      <c r="S637" s="82">
        <v>0.61</v>
      </c>
    </row>
    <row r="638" spans="1:19" s="80" customFormat="1">
      <c r="A638" s="79">
        <f t="shared" si="72"/>
        <v>56857</v>
      </c>
      <c r="B638" s="79">
        <f t="shared" si="71"/>
        <v>57222</v>
      </c>
      <c r="C638" s="88">
        <f t="shared" si="78"/>
        <v>0.26</v>
      </c>
      <c r="D638" s="88">
        <f t="shared" si="78"/>
        <v>0.27900000000000003</v>
      </c>
      <c r="E638" s="88">
        <f t="shared" si="78"/>
        <v>6.0999999999999999E-2</v>
      </c>
      <c r="F638" s="88">
        <f t="shared" si="78"/>
        <v>2.5999999999999999E-2</v>
      </c>
      <c r="G638" s="89">
        <v>0.26</v>
      </c>
      <c r="H638" s="89">
        <v>0.27900000000000003</v>
      </c>
      <c r="I638" s="89">
        <v>6.0999999999999999E-2</v>
      </c>
      <c r="J638" s="89">
        <v>2.5999999999999999E-2</v>
      </c>
      <c r="K638" s="78">
        <f>(L638*4)</f>
        <v>97351</v>
      </c>
      <c r="L638" s="96">
        <f>L626*1.05</f>
        <v>24337.73</v>
      </c>
      <c r="M638" s="355">
        <f t="shared" si="76"/>
        <v>0.6</v>
      </c>
      <c r="N638" s="355">
        <v>0.26</v>
      </c>
      <c r="O638" s="355">
        <f t="shared" si="77"/>
        <v>0.61</v>
      </c>
      <c r="P638" s="355">
        <v>0.34620000000000001</v>
      </c>
      <c r="Q638" s="355">
        <v>0.69640000000000002</v>
      </c>
      <c r="R638" s="355">
        <v>0.6</v>
      </c>
      <c r="S638" s="355">
        <v>0.61</v>
      </c>
    </row>
    <row r="639" spans="1:19" s="80" customFormat="1">
      <c r="A639" s="79">
        <f t="shared" si="72"/>
        <v>56887</v>
      </c>
      <c r="B639" s="79">
        <f t="shared" si="71"/>
        <v>57252</v>
      </c>
      <c r="C639" s="88">
        <f t="shared" si="78"/>
        <v>0.26</v>
      </c>
      <c r="D639" s="88">
        <f t="shared" si="78"/>
        <v>0.27900000000000003</v>
      </c>
      <c r="E639" s="88">
        <f t="shared" si="78"/>
        <v>6.0999999999999999E-2</v>
      </c>
      <c r="F639" s="88">
        <f t="shared" si="78"/>
        <v>2.5999999999999999E-2</v>
      </c>
      <c r="G639" s="89">
        <v>0.26</v>
      </c>
      <c r="H639" s="89">
        <v>0.27900000000000003</v>
      </c>
      <c r="I639" s="89">
        <v>6.0999999999999999E-2</v>
      </c>
      <c r="J639" s="89">
        <v>2.5999999999999999E-2</v>
      </c>
      <c r="K639" s="78">
        <f>((11/3)*L638)+((1/3)*L650)</f>
        <v>97757</v>
      </c>
      <c r="L639" s="96"/>
      <c r="M639" s="355">
        <f t="shared" si="76"/>
        <v>0.6</v>
      </c>
      <c r="N639" s="355">
        <v>0.26</v>
      </c>
      <c r="O639" s="355">
        <f t="shared" si="77"/>
        <v>0.61</v>
      </c>
      <c r="P639" s="355">
        <v>0.34620000000000001</v>
      </c>
      <c r="Q639" s="355">
        <v>0.69640000000000002</v>
      </c>
      <c r="R639" s="355">
        <v>0.6</v>
      </c>
      <c r="S639" s="355">
        <v>0.61</v>
      </c>
    </row>
    <row r="640" spans="1:19" s="80" customFormat="1">
      <c r="A640" s="79">
        <f t="shared" si="72"/>
        <v>56918</v>
      </c>
      <c r="B640" s="79">
        <f t="shared" si="71"/>
        <v>57283</v>
      </c>
      <c r="C640" s="88">
        <f t="shared" si="78"/>
        <v>0.26</v>
      </c>
      <c r="D640" s="88">
        <f t="shared" si="78"/>
        <v>0.27900000000000003</v>
      </c>
      <c r="E640" s="88">
        <f t="shared" si="78"/>
        <v>6.0999999999999999E-2</v>
      </c>
      <c r="F640" s="88">
        <f t="shared" si="78"/>
        <v>2.5999999999999999E-2</v>
      </c>
      <c r="G640" s="89">
        <v>0.26</v>
      </c>
      <c r="H640" s="89">
        <v>0.27900000000000003</v>
      </c>
      <c r="I640" s="89">
        <v>6.0999999999999999E-2</v>
      </c>
      <c r="J640" s="89">
        <v>2.5999999999999999E-2</v>
      </c>
      <c r="K640" s="78">
        <f>((10/3)*L638)+((2/3)*L650)</f>
        <v>98162</v>
      </c>
      <c r="L640" s="96"/>
      <c r="M640" s="355">
        <f t="shared" si="76"/>
        <v>0.6</v>
      </c>
      <c r="N640" s="355">
        <v>0.26</v>
      </c>
      <c r="O640" s="355">
        <f t="shared" si="77"/>
        <v>0.61</v>
      </c>
      <c r="P640" s="355">
        <v>0.34620000000000001</v>
      </c>
      <c r="Q640" s="355">
        <v>0.69640000000000002</v>
      </c>
      <c r="R640" s="355">
        <v>0.6</v>
      </c>
      <c r="S640" s="355">
        <v>0.61</v>
      </c>
    </row>
    <row r="641" spans="1:19" s="80" customFormat="1">
      <c r="A641" s="79">
        <f t="shared" si="72"/>
        <v>56948</v>
      </c>
      <c r="B641" s="79">
        <f t="shared" si="71"/>
        <v>57313</v>
      </c>
      <c r="C641" s="88">
        <f t="shared" si="78"/>
        <v>0.26</v>
      </c>
      <c r="D641" s="88">
        <f t="shared" si="78"/>
        <v>0.27900000000000003</v>
      </c>
      <c r="E641" s="88">
        <f t="shared" si="78"/>
        <v>6.0999999999999999E-2</v>
      </c>
      <c r="F641" s="88">
        <f t="shared" si="78"/>
        <v>2.5999999999999999E-2</v>
      </c>
      <c r="G641" s="89">
        <v>0.26</v>
      </c>
      <c r="H641" s="89">
        <v>0.27900000000000003</v>
      </c>
      <c r="I641" s="89">
        <v>6.0999999999999999E-2</v>
      </c>
      <c r="J641" s="89">
        <v>2.5999999999999999E-2</v>
      </c>
      <c r="K641" s="78">
        <f>((9/3)*L638)+((3/3)*L650)</f>
        <v>98568</v>
      </c>
      <c r="L641" s="96"/>
      <c r="M641" s="355">
        <f t="shared" si="76"/>
        <v>0.6</v>
      </c>
      <c r="N641" s="355">
        <v>0.26</v>
      </c>
      <c r="O641" s="355">
        <f t="shared" si="77"/>
        <v>0.61</v>
      </c>
      <c r="P641" s="355">
        <v>0.34620000000000001</v>
      </c>
      <c r="Q641" s="355">
        <v>0.69640000000000002</v>
      </c>
      <c r="R641" s="355">
        <v>0.6</v>
      </c>
      <c r="S641" s="355">
        <v>0.61</v>
      </c>
    </row>
    <row r="642" spans="1:19" s="80" customFormat="1">
      <c r="A642" s="79">
        <f t="shared" si="72"/>
        <v>56979</v>
      </c>
      <c r="B642" s="79">
        <f t="shared" ref="B642:B705" si="79">EDATE(A642,12)-1</f>
        <v>57344</v>
      </c>
      <c r="C642" s="88">
        <f t="shared" si="78"/>
        <v>0.26</v>
      </c>
      <c r="D642" s="88">
        <f t="shared" si="78"/>
        <v>0.27900000000000003</v>
      </c>
      <c r="E642" s="88">
        <f t="shared" si="78"/>
        <v>6.0999999999999999E-2</v>
      </c>
      <c r="F642" s="88">
        <f t="shared" si="78"/>
        <v>2.5999999999999999E-2</v>
      </c>
      <c r="G642" s="89">
        <v>0.26</v>
      </c>
      <c r="H642" s="89">
        <v>0.27900000000000003</v>
      </c>
      <c r="I642" s="89">
        <v>6.0999999999999999E-2</v>
      </c>
      <c r="J642" s="89">
        <v>2.5999999999999999E-2</v>
      </c>
      <c r="K642" s="78">
        <f>((8/3)*L638)+((4/3)*L650)</f>
        <v>98973</v>
      </c>
      <c r="L642" s="96"/>
      <c r="M642" s="355">
        <f t="shared" si="76"/>
        <v>0.6</v>
      </c>
      <c r="N642" s="355">
        <v>0.26</v>
      </c>
      <c r="O642" s="355">
        <f t="shared" si="77"/>
        <v>0.61</v>
      </c>
      <c r="P642" s="355">
        <v>0.34620000000000001</v>
      </c>
      <c r="Q642" s="355">
        <v>0.69640000000000002</v>
      </c>
      <c r="R642" s="355">
        <v>0.6</v>
      </c>
      <c r="S642" s="355">
        <v>0.61</v>
      </c>
    </row>
    <row r="643" spans="1:19" s="80" customFormat="1">
      <c r="A643" s="79">
        <f t="shared" ref="A643:A706" si="80">EDATE(A642,1)</f>
        <v>57010</v>
      </c>
      <c r="B643" s="79">
        <f t="shared" si="79"/>
        <v>57375</v>
      </c>
      <c r="C643" s="88">
        <f t="shared" ref="C643:F658" si="81">AVERAGE(G643:G654)</f>
        <v>0.26</v>
      </c>
      <c r="D643" s="88">
        <f t="shared" si="81"/>
        <v>0.27900000000000003</v>
      </c>
      <c r="E643" s="88">
        <f t="shared" si="81"/>
        <v>6.0999999999999999E-2</v>
      </c>
      <c r="F643" s="88">
        <f t="shared" si="81"/>
        <v>2.5999999999999999E-2</v>
      </c>
      <c r="G643" s="89">
        <v>0.26</v>
      </c>
      <c r="H643" s="89">
        <v>0.27900000000000003</v>
      </c>
      <c r="I643" s="89">
        <v>6.0999999999999999E-2</v>
      </c>
      <c r="J643" s="89">
        <v>2.5999999999999999E-2</v>
      </c>
      <c r="K643" s="78">
        <f>((7/3)*L638)+((5/3)*L650)</f>
        <v>99379</v>
      </c>
      <c r="L643" s="96"/>
      <c r="M643" s="355">
        <f t="shared" si="76"/>
        <v>0.6</v>
      </c>
      <c r="N643" s="355">
        <v>0.26</v>
      </c>
      <c r="O643" s="355">
        <f t="shared" si="77"/>
        <v>0.61</v>
      </c>
      <c r="P643" s="355">
        <v>0.34620000000000001</v>
      </c>
      <c r="Q643" s="355">
        <v>0.69640000000000002</v>
      </c>
      <c r="R643" s="355">
        <v>0.6</v>
      </c>
      <c r="S643" s="355">
        <v>0.61</v>
      </c>
    </row>
    <row r="644" spans="1:19" s="80" customFormat="1">
      <c r="A644" s="79">
        <f t="shared" si="80"/>
        <v>57039</v>
      </c>
      <c r="B644" s="79">
        <f t="shared" si="79"/>
        <v>57403</v>
      </c>
      <c r="C644" s="88">
        <f t="shared" si="81"/>
        <v>0.26</v>
      </c>
      <c r="D644" s="88">
        <f t="shared" si="81"/>
        <v>0.27900000000000003</v>
      </c>
      <c r="E644" s="88">
        <f t="shared" si="81"/>
        <v>6.0999999999999999E-2</v>
      </c>
      <c r="F644" s="88">
        <f t="shared" si="81"/>
        <v>2.5999999999999999E-2</v>
      </c>
      <c r="G644" s="89">
        <v>0.26</v>
      </c>
      <c r="H644" s="89">
        <v>0.27900000000000003</v>
      </c>
      <c r="I644" s="89">
        <v>6.0999999999999999E-2</v>
      </c>
      <c r="J644" s="89">
        <v>2.5999999999999999E-2</v>
      </c>
      <c r="K644" s="78">
        <f>((6/3)*L638)+((6/3)*L650)</f>
        <v>99785</v>
      </c>
      <c r="L644" s="96"/>
      <c r="M644" s="355">
        <f t="shared" si="76"/>
        <v>0.6</v>
      </c>
      <c r="N644" s="355">
        <v>0.26</v>
      </c>
      <c r="O644" s="355">
        <f t="shared" si="77"/>
        <v>0.61</v>
      </c>
      <c r="P644" s="355">
        <v>0.34620000000000001</v>
      </c>
      <c r="Q644" s="355">
        <v>0.69640000000000002</v>
      </c>
      <c r="R644" s="355">
        <v>0.6</v>
      </c>
      <c r="S644" s="355">
        <v>0.61</v>
      </c>
    </row>
    <row r="645" spans="1:19" s="80" customFormat="1">
      <c r="A645" s="79">
        <f t="shared" si="80"/>
        <v>57070</v>
      </c>
      <c r="B645" s="79">
        <f t="shared" si="79"/>
        <v>57434</v>
      </c>
      <c r="C645" s="88">
        <f t="shared" si="81"/>
        <v>0.26</v>
      </c>
      <c r="D645" s="88">
        <f t="shared" si="81"/>
        <v>0.27900000000000003</v>
      </c>
      <c r="E645" s="88">
        <f t="shared" si="81"/>
        <v>6.0999999999999999E-2</v>
      </c>
      <c r="F645" s="88">
        <f t="shared" si="81"/>
        <v>2.5999999999999999E-2</v>
      </c>
      <c r="G645" s="89">
        <v>0.26</v>
      </c>
      <c r="H645" s="89">
        <v>0.27900000000000003</v>
      </c>
      <c r="I645" s="89">
        <v>6.0999999999999999E-2</v>
      </c>
      <c r="J645" s="89">
        <v>2.5999999999999999E-2</v>
      </c>
      <c r="K645" s="78">
        <f>((5/3)*L638)+((7/3)*L650)</f>
        <v>100190</v>
      </c>
      <c r="L645" s="96"/>
      <c r="M645" s="355">
        <f t="shared" si="76"/>
        <v>0.6</v>
      </c>
      <c r="N645" s="355">
        <v>0.26</v>
      </c>
      <c r="O645" s="355">
        <f t="shared" si="77"/>
        <v>0.61</v>
      </c>
      <c r="P645" s="355">
        <v>0.34620000000000001</v>
      </c>
      <c r="Q645" s="355">
        <v>0.69640000000000002</v>
      </c>
      <c r="R645" s="355">
        <v>0.6</v>
      </c>
      <c r="S645" s="355">
        <v>0.61</v>
      </c>
    </row>
    <row r="646" spans="1:19" s="80" customFormat="1">
      <c r="A646" s="79">
        <f t="shared" si="80"/>
        <v>57100</v>
      </c>
      <c r="B646" s="79">
        <f t="shared" si="79"/>
        <v>57464</v>
      </c>
      <c r="C646" s="88">
        <f t="shared" si="81"/>
        <v>0.26</v>
      </c>
      <c r="D646" s="88">
        <f t="shared" si="81"/>
        <v>0.27900000000000003</v>
      </c>
      <c r="E646" s="88">
        <f t="shared" si="81"/>
        <v>6.0999999999999999E-2</v>
      </c>
      <c r="F646" s="88">
        <f t="shared" si="81"/>
        <v>2.5999999999999999E-2</v>
      </c>
      <c r="G646" s="89">
        <v>0.26</v>
      </c>
      <c r="H646" s="89">
        <v>0.27900000000000003</v>
      </c>
      <c r="I646" s="89">
        <v>6.0999999999999999E-2</v>
      </c>
      <c r="J646" s="89">
        <v>2.5999999999999999E-2</v>
      </c>
      <c r="K646" s="78">
        <f>((4/3)*L638)+((8/3)*L650)</f>
        <v>100596</v>
      </c>
      <c r="L646" s="96"/>
      <c r="M646" s="355">
        <f t="shared" si="76"/>
        <v>0.6</v>
      </c>
      <c r="N646" s="355">
        <v>0.26</v>
      </c>
      <c r="O646" s="355">
        <f t="shared" si="77"/>
        <v>0.61</v>
      </c>
      <c r="P646" s="355">
        <v>0.34620000000000001</v>
      </c>
      <c r="Q646" s="355">
        <v>0.69640000000000002</v>
      </c>
      <c r="R646" s="355">
        <v>0.6</v>
      </c>
      <c r="S646" s="355">
        <v>0.61</v>
      </c>
    </row>
    <row r="647" spans="1:19" s="80" customFormat="1">
      <c r="A647" s="79">
        <f t="shared" si="80"/>
        <v>57131</v>
      </c>
      <c r="B647" s="79">
        <f t="shared" si="79"/>
        <v>57495</v>
      </c>
      <c r="C647" s="88">
        <f t="shared" si="81"/>
        <v>0.26</v>
      </c>
      <c r="D647" s="88">
        <f t="shared" si="81"/>
        <v>0.27900000000000003</v>
      </c>
      <c r="E647" s="88">
        <f t="shared" si="81"/>
        <v>6.0999999999999999E-2</v>
      </c>
      <c r="F647" s="88">
        <f t="shared" si="81"/>
        <v>2.5999999999999999E-2</v>
      </c>
      <c r="G647" s="89">
        <v>0.26</v>
      </c>
      <c r="H647" s="89">
        <v>0.27900000000000003</v>
      </c>
      <c r="I647" s="89">
        <v>6.0999999999999999E-2</v>
      </c>
      <c r="J647" s="89">
        <v>2.5999999999999999E-2</v>
      </c>
      <c r="K647" s="78">
        <f>((3/3)*L638)+((9/3)*L650)</f>
        <v>101002</v>
      </c>
      <c r="L647" s="96"/>
      <c r="M647" s="355">
        <f t="shared" si="76"/>
        <v>0.6</v>
      </c>
      <c r="N647" s="355">
        <v>0.26</v>
      </c>
      <c r="O647" s="355">
        <f t="shared" si="77"/>
        <v>0.61</v>
      </c>
      <c r="P647" s="355">
        <v>0.34620000000000001</v>
      </c>
      <c r="Q647" s="355">
        <v>0.69640000000000002</v>
      </c>
      <c r="R647" s="355">
        <v>0.6</v>
      </c>
      <c r="S647" s="355">
        <v>0.61</v>
      </c>
    </row>
    <row r="648" spans="1:19" s="80" customFormat="1">
      <c r="A648" s="79">
        <f t="shared" si="80"/>
        <v>57161</v>
      </c>
      <c r="B648" s="79">
        <f t="shared" si="79"/>
        <v>57525</v>
      </c>
      <c r="C648" s="88">
        <f t="shared" si="81"/>
        <v>0.26</v>
      </c>
      <c r="D648" s="88">
        <f t="shared" si="81"/>
        <v>0.27900000000000003</v>
      </c>
      <c r="E648" s="88">
        <f t="shared" si="81"/>
        <v>6.0999999999999999E-2</v>
      </c>
      <c r="F648" s="88">
        <f t="shared" si="81"/>
        <v>2.5999999999999999E-2</v>
      </c>
      <c r="G648" s="89">
        <v>0.26</v>
      </c>
      <c r="H648" s="89">
        <v>0.27900000000000003</v>
      </c>
      <c r="I648" s="89">
        <v>6.0999999999999999E-2</v>
      </c>
      <c r="J648" s="89">
        <v>2.5999999999999999E-2</v>
      </c>
      <c r="K648" s="78">
        <f>((2/3)*L638)+((10/3)*L650)</f>
        <v>101407</v>
      </c>
      <c r="L648" s="96"/>
      <c r="M648" s="355">
        <f t="shared" si="76"/>
        <v>0.6</v>
      </c>
      <c r="N648" s="355">
        <v>0.26</v>
      </c>
      <c r="O648" s="355">
        <f t="shared" si="77"/>
        <v>0.61</v>
      </c>
      <c r="P648" s="355">
        <v>0.34620000000000001</v>
      </c>
      <c r="Q648" s="355">
        <v>0.69640000000000002</v>
      </c>
      <c r="R648" s="355">
        <v>0.6</v>
      </c>
      <c r="S648" s="355">
        <v>0.61</v>
      </c>
    </row>
    <row r="649" spans="1:19" s="80" customFormat="1">
      <c r="A649" s="79">
        <f t="shared" si="80"/>
        <v>57192</v>
      </c>
      <c r="B649" s="79">
        <f t="shared" si="79"/>
        <v>57556</v>
      </c>
      <c r="C649" s="88">
        <f t="shared" si="81"/>
        <v>0.26</v>
      </c>
      <c r="D649" s="88">
        <f t="shared" si="81"/>
        <v>0.27900000000000003</v>
      </c>
      <c r="E649" s="88">
        <f t="shared" si="81"/>
        <v>6.0999999999999999E-2</v>
      </c>
      <c r="F649" s="88">
        <f t="shared" si="81"/>
        <v>2.5999999999999999E-2</v>
      </c>
      <c r="G649" s="89">
        <v>0.26</v>
      </c>
      <c r="H649" s="89">
        <v>0.27900000000000003</v>
      </c>
      <c r="I649" s="89">
        <v>6.0999999999999999E-2</v>
      </c>
      <c r="J649" s="89">
        <v>2.5999999999999999E-2</v>
      </c>
      <c r="K649" s="78">
        <f>((1/3)*L638)+((11/3)*L650)</f>
        <v>101813</v>
      </c>
      <c r="L649" s="96"/>
      <c r="M649" s="355">
        <f t="shared" si="76"/>
        <v>0.6</v>
      </c>
      <c r="N649" s="355">
        <v>0.26</v>
      </c>
      <c r="O649" s="355">
        <f t="shared" si="77"/>
        <v>0.61</v>
      </c>
      <c r="P649" s="355">
        <v>0.34620000000000001</v>
      </c>
      <c r="Q649" s="355">
        <v>0.69640000000000002</v>
      </c>
      <c r="R649" s="355">
        <v>0.6</v>
      </c>
      <c r="S649" s="355">
        <v>0.61</v>
      </c>
    </row>
    <row r="650" spans="1:19">
      <c r="A650" s="19">
        <f t="shared" si="80"/>
        <v>57223</v>
      </c>
      <c r="B650" s="19">
        <f t="shared" si="79"/>
        <v>57587</v>
      </c>
      <c r="C650" s="86">
        <f t="shared" si="81"/>
        <v>0.26</v>
      </c>
      <c r="D650" s="86">
        <f t="shared" si="81"/>
        <v>0.27900000000000003</v>
      </c>
      <c r="E650" s="86">
        <f t="shared" si="81"/>
        <v>6.0999999999999999E-2</v>
      </c>
      <c r="F650" s="86">
        <f t="shared" si="81"/>
        <v>2.5999999999999999E-2</v>
      </c>
      <c r="G650" s="87">
        <v>0.26</v>
      </c>
      <c r="H650" s="87">
        <v>0.27900000000000003</v>
      </c>
      <c r="I650" s="87">
        <v>6.0999999999999999E-2</v>
      </c>
      <c r="J650" s="87">
        <v>2.5999999999999999E-2</v>
      </c>
      <c r="K650" s="25">
        <f>(L650*4)</f>
        <v>102218</v>
      </c>
      <c r="L650" s="95">
        <f>L638*1.05</f>
        <v>25554.62</v>
      </c>
      <c r="M650" s="82">
        <f t="shared" si="76"/>
        <v>0.6</v>
      </c>
      <c r="N650" s="82">
        <v>0.26</v>
      </c>
      <c r="O650" s="82">
        <f t="shared" si="77"/>
        <v>0.61</v>
      </c>
      <c r="P650" s="82">
        <v>0.34620000000000001</v>
      </c>
      <c r="Q650" s="82">
        <v>0.69640000000000002</v>
      </c>
      <c r="R650" s="82">
        <v>0.6</v>
      </c>
      <c r="S650" s="82">
        <v>0.61</v>
      </c>
    </row>
    <row r="651" spans="1:19">
      <c r="A651" s="19">
        <f t="shared" si="80"/>
        <v>57253</v>
      </c>
      <c r="B651" s="19">
        <f t="shared" si="79"/>
        <v>57617</v>
      </c>
      <c r="C651" s="86">
        <f t="shared" si="81"/>
        <v>0.26</v>
      </c>
      <c r="D651" s="86">
        <f t="shared" si="81"/>
        <v>0.27900000000000003</v>
      </c>
      <c r="E651" s="86">
        <f t="shared" si="81"/>
        <v>6.0999999999999999E-2</v>
      </c>
      <c r="F651" s="86">
        <f t="shared" si="81"/>
        <v>2.5999999999999999E-2</v>
      </c>
      <c r="G651" s="87">
        <v>0.26</v>
      </c>
      <c r="H651" s="87">
        <v>0.27900000000000003</v>
      </c>
      <c r="I651" s="87">
        <v>6.0999999999999999E-2</v>
      </c>
      <c r="J651" s="87">
        <v>2.5999999999999999E-2</v>
      </c>
      <c r="K651" s="25">
        <f>((11/3)*L650)+((1/3)*L662)</f>
        <v>102644</v>
      </c>
      <c r="L651" s="95"/>
      <c r="M651" s="82">
        <f t="shared" si="76"/>
        <v>0.6</v>
      </c>
      <c r="N651" s="82">
        <v>0.26</v>
      </c>
      <c r="O651" s="82">
        <f t="shared" si="77"/>
        <v>0.61</v>
      </c>
      <c r="P651" s="82">
        <v>0.34620000000000001</v>
      </c>
      <c r="Q651" s="82">
        <v>0.69640000000000002</v>
      </c>
      <c r="R651" s="82">
        <v>0.6</v>
      </c>
      <c r="S651" s="82">
        <v>0.61</v>
      </c>
    </row>
    <row r="652" spans="1:19">
      <c r="A652" s="19">
        <f t="shared" si="80"/>
        <v>57284</v>
      </c>
      <c r="B652" s="19">
        <f t="shared" si="79"/>
        <v>57648</v>
      </c>
      <c r="C652" s="86">
        <f t="shared" si="81"/>
        <v>0.26</v>
      </c>
      <c r="D652" s="86">
        <f t="shared" si="81"/>
        <v>0.27900000000000003</v>
      </c>
      <c r="E652" s="86">
        <f t="shared" si="81"/>
        <v>6.0999999999999999E-2</v>
      </c>
      <c r="F652" s="86">
        <f t="shared" si="81"/>
        <v>2.5999999999999999E-2</v>
      </c>
      <c r="G652" s="87">
        <v>0.26</v>
      </c>
      <c r="H652" s="87">
        <v>0.27900000000000003</v>
      </c>
      <c r="I652" s="87">
        <v>6.0999999999999999E-2</v>
      </c>
      <c r="J652" s="87">
        <v>2.5999999999999999E-2</v>
      </c>
      <c r="K652" s="25">
        <f>((10/3)*L650)+((2/3)*L662)</f>
        <v>103070</v>
      </c>
      <c r="L652" s="95"/>
      <c r="M652" s="82">
        <f t="shared" si="76"/>
        <v>0.6</v>
      </c>
      <c r="N652" s="82">
        <v>0.26</v>
      </c>
      <c r="O652" s="82">
        <f t="shared" si="77"/>
        <v>0.61</v>
      </c>
      <c r="P652" s="82">
        <v>0.34620000000000001</v>
      </c>
      <c r="Q652" s="82">
        <v>0.69640000000000002</v>
      </c>
      <c r="R652" s="82">
        <v>0.6</v>
      </c>
      <c r="S652" s="82">
        <v>0.61</v>
      </c>
    </row>
    <row r="653" spans="1:19">
      <c r="A653" s="19">
        <f t="shared" si="80"/>
        <v>57314</v>
      </c>
      <c r="B653" s="19">
        <f t="shared" si="79"/>
        <v>57678</v>
      </c>
      <c r="C653" s="86">
        <f t="shared" si="81"/>
        <v>0.26</v>
      </c>
      <c r="D653" s="86">
        <f t="shared" si="81"/>
        <v>0.27900000000000003</v>
      </c>
      <c r="E653" s="86">
        <f t="shared" si="81"/>
        <v>6.0999999999999999E-2</v>
      </c>
      <c r="F653" s="86">
        <f t="shared" si="81"/>
        <v>2.5999999999999999E-2</v>
      </c>
      <c r="G653" s="87">
        <v>0.26</v>
      </c>
      <c r="H653" s="87">
        <v>0.27900000000000003</v>
      </c>
      <c r="I653" s="87">
        <v>6.0999999999999999E-2</v>
      </c>
      <c r="J653" s="87">
        <v>2.5999999999999999E-2</v>
      </c>
      <c r="K653" s="25">
        <f>((9/3)*L650)+((3/3)*L662)</f>
        <v>103496</v>
      </c>
      <c r="L653" s="95"/>
      <c r="M653" s="82">
        <f t="shared" si="76"/>
        <v>0.6</v>
      </c>
      <c r="N653" s="82">
        <v>0.26</v>
      </c>
      <c r="O653" s="82">
        <f t="shared" si="77"/>
        <v>0.61</v>
      </c>
      <c r="P653" s="82">
        <v>0.34620000000000001</v>
      </c>
      <c r="Q653" s="82">
        <v>0.69640000000000002</v>
      </c>
      <c r="R653" s="82">
        <v>0.6</v>
      </c>
      <c r="S653" s="82">
        <v>0.61</v>
      </c>
    </row>
    <row r="654" spans="1:19">
      <c r="A654" s="19">
        <f t="shared" si="80"/>
        <v>57345</v>
      </c>
      <c r="B654" s="19">
        <f t="shared" si="79"/>
        <v>57709</v>
      </c>
      <c r="C654" s="86">
        <f t="shared" si="81"/>
        <v>0.26</v>
      </c>
      <c r="D654" s="86">
        <f t="shared" si="81"/>
        <v>0.27900000000000003</v>
      </c>
      <c r="E654" s="86">
        <f t="shared" si="81"/>
        <v>6.0999999999999999E-2</v>
      </c>
      <c r="F654" s="86">
        <f t="shared" si="81"/>
        <v>2.5999999999999999E-2</v>
      </c>
      <c r="G654" s="87">
        <v>0.26</v>
      </c>
      <c r="H654" s="87">
        <v>0.27900000000000003</v>
      </c>
      <c r="I654" s="87">
        <v>6.0999999999999999E-2</v>
      </c>
      <c r="J654" s="87">
        <v>2.5999999999999999E-2</v>
      </c>
      <c r="K654" s="25">
        <f>((8/3)*L650)+((4/3)*L662)</f>
        <v>103922</v>
      </c>
      <c r="L654" s="95"/>
      <c r="M654" s="82">
        <f t="shared" si="76"/>
        <v>0.6</v>
      </c>
      <c r="N654" s="82">
        <v>0.26</v>
      </c>
      <c r="O654" s="82">
        <f t="shared" si="77"/>
        <v>0.61</v>
      </c>
      <c r="P654" s="82">
        <v>0.34620000000000001</v>
      </c>
      <c r="Q654" s="82">
        <v>0.69640000000000002</v>
      </c>
      <c r="R654" s="82">
        <v>0.6</v>
      </c>
      <c r="S654" s="82">
        <v>0.61</v>
      </c>
    </row>
    <row r="655" spans="1:19">
      <c r="A655" s="19">
        <f t="shared" si="80"/>
        <v>57376</v>
      </c>
      <c r="B655" s="19">
        <f t="shared" si="79"/>
        <v>57740</v>
      </c>
      <c r="C655" s="86">
        <f t="shared" si="81"/>
        <v>0.26</v>
      </c>
      <c r="D655" s="86">
        <f t="shared" si="81"/>
        <v>0.27900000000000003</v>
      </c>
      <c r="E655" s="86">
        <f t="shared" si="81"/>
        <v>6.0999999999999999E-2</v>
      </c>
      <c r="F655" s="86">
        <f t="shared" si="81"/>
        <v>2.5999999999999999E-2</v>
      </c>
      <c r="G655" s="87">
        <v>0.26</v>
      </c>
      <c r="H655" s="87">
        <v>0.27900000000000003</v>
      </c>
      <c r="I655" s="87">
        <v>6.0999999999999999E-2</v>
      </c>
      <c r="J655" s="87">
        <v>2.5999999999999999E-2</v>
      </c>
      <c r="K655" s="25">
        <f>((7/3)*L650)+((5/3)*L662)</f>
        <v>104348</v>
      </c>
      <c r="L655" s="95"/>
      <c r="M655" s="82">
        <f t="shared" si="76"/>
        <v>0.6</v>
      </c>
      <c r="N655" s="82">
        <v>0.26</v>
      </c>
      <c r="O655" s="82">
        <f t="shared" si="77"/>
        <v>0.61</v>
      </c>
      <c r="P655" s="82">
        <v>0.34620000000000001</v>
      </c>
      <c r="Q655" s="82">
        <v>0.69640000000000002</v>
      </c>
      <c r="R655" s="82">
        <v>0.6</v>
      </c>
      <c r="S655" s="82">
        <v>0.61</v>
      </c>
    </row>
    <row r="656" spans="1:19">
      <c r="A656" s="19">
        <f t="shared" si="80"/>
        <v>57404</v>
      </c>
      <c r="B656" s="19">
        <f t="shared" si="79"/>
        <v>57768</v>
      </c>
      <c r="C656" s="86">
        <f t="shared" si="81"/>
        <v>0.26</v>
      </c>
      <c r="D656" s="86">
        <f t="shared" si="81"/>
        <v>0.27900000000000003</v>
      </c>
      <c r="E656" s="86">
        <f t="shared" si="81"/>
        <v>6.0999999999999999E-2</v>
      </c>
      <c r="F656" s="86">
        <f t="shared" si="81"/>
        <v>2.5999999999999999E-2</v>
      </c>
      <c r="G656" s="87">
        <v>0.26</v>
      </c>
      <c r="H656" s="87">
        <v>0.27900000000000003</v>
      </c>
      <c r="I656" s="87">
        <v>6.0999999999999999E-2</v>
      </c>
      <c r="J656" s="87">
        <v>2.5999999999999999E-2</v>
      </c>
      <c r="K656" s="25">
        <f>((6/3)*L650)+((6/3)*L662)</f>
        <v>104774</v>
      </c>
      <c r="L656" s="95"/>
      <c r="M656" s="82">
        <f t="shared" si="76"/>
        <v>0.6</v>
      </c>
      <c r="N656" s="82">
        <v>0.26</v>
      </c>
      <c r="O656" s="82">
        <f t="shared" si="77"/>
        <v>0.61</v>
      </c>
      <c r="P656" s="82">
        <v>0.34620000000000001</v>
      </c>
      <c r="Q656" s="82">
        <v>0.69640000000000002</v>
      </c>
      <c r="R656" s="82">
        <v>0.6</v>
      </c>
      <c r="S656" s="82">
        <v>0.61</v>
      </c>
    </row>
    <row r="657" spans="1:19">
      <c r="A657" s="19">
        <f t="shared" si="80"/>
        <v>57435</v>
      </c>
      <c r="B657" s="19">
        <f t="shared" si="79"/>
        <v>57799</v>
      </c>
      <c r="C657" s="86">
        <f t="shared" si="81"/>
        <v>0.26</v>
      </c>
      <c r="D657" s="86">
        <f t="shared" si="81"/>
        <v>0.27900000000000003</v>
      </c>
      <c r="E657" s="86">
        <f t="shared" si="81"/>
        <v>6.0999999999999999E-2</v>
      </c>
      <c r="F657" s="86">
        <f t="shared" si="81"/>
        <v>2.5999999999999999E-2</v>
      </c>
      <c r="G657" s="87">
        <v>0.26</v>
      </c>
      <c r="H657" s="87">
        <v>0.27900000000000003</v>
      </c>
      <c r="I657" s="87">
        <v>6.0999999999999999E-2</v>
      </c>
      <c r="J657" s="87">
        <v>2.5999999999999999E-2</v>
      </c>
      <c r="K657" s="25">
        <f>((5/3)*L650)+((7/3)*L662)</f>
        <v>105200</v>
      </c>
      <c r="L657" s="95"/>
      <c r="M657" s="82">
        <f t="shared" si="76"/>
        <v>0.6</v>
      </c>
      <c r="N657" s="82">
        <v>0.26</v>
      </c>
      <c r="O657" s="82">
        <f t="shared" si="77"/>
        <v>0.61</v>
      </c>
      <c r="P657" s="82">
        <v>0.34620000000000001</v>
      </c>
      <c r="Q657" s="82">
        <v>0.69640000000000002</v>
      </c>
      <c r="R657" s="82">
        <v>0.6</v>
      </c>
      <c r="S657" s="82">
        <v>0.61</v>
      </c>
    </row>
    <row r="658" spans="1:19">
      <c r="A658" s="19">
        <f t="shared" si="80"/>
        <v>57465</v>
      </c>
      <c r="B658" s="19">
        <f t="shared" si="79"/>
        <v>57829</v>
      </c>
      <c r="C658" s="86">
        <f t="shared" si="81"/>
        <v>0.26</v>
      </c>
      <c r="D658" s="86">
        <f t="shared" si="81"/>
        <v>0.27900000000000003</v>
      </c>
      <c r="E658" s="86">
        <f t="shared" si="81"/>
        <v>6.0999999999999999E-2</v>
      </c>
      <c r="F658" s="86">
        <f t="shared" si="81"/>
        <v>2.5999999999999999E-2</v>
      </c>
      <c r="G658" s="87">
        <v>0.26</v>
      </c>
      <c r="H658" s="87">
        <v>0.27900000000000003</v>
      </c>
      <c r="I658" s="87">
        <v>6.0999999999999999E-2</v>
      </c>
      <c r="J658" s="87">
        <v>2.5999999999999999E-2</v>
      </c>
      <c r="K658" s="25">
        <f>((4/3)*L650)+((8/3)*L662)</f>
        <v>105626</v>
      </c>
      <c r="L658" s="95"/>
      <c r="M658" s="82">
        <f t="shared" si="76"/>
        <v>0.6</v>
      </c>
      <c r="N658" s="82">
        <v>0.26</v>
      </c>
      <c r="O658" s="82">
        <f t="shared" si="77"/>
        <v>0.61</v>
      </c>
      <c r="P658" s="82">
        <v>0.34620000000000001</v>
      </c>
      <c r="Q658" s="82">
        <v>0.69640000000000002</v>
      </c>
      <c r="R658" s="82">
        <v>0.6</v>
      </c>
      <c r="S658" s="82">
        <v>0.61</v>
      </c>
    </row>
    <row r="659" spans="1:19">
      <c r="A659" s="19">
        <f t="shared" si="80"/>
        <v>57496</v>
      </c>
      <c r="B659" s="19">
        <f t="shared" si="79"/>
        <v>57860</v>
      </c>
      <c r="C659" s="86">
        <f t="shared" ref="C659:F674" si="82">AVERAGE(G659:G670)</f>
        <v>0.26</v>
      </c>
      <c r="D659" s="86">
        <f t="shared" si="82"/>
        <v>0.27900000000000003</v>
      </c>
      <c r="E659" s="86">
        <f t="shared" si="82"/>
        <v>6.0999999999999999E-2</v>
      </c>
      <c r="F659" s="86">
        <f t="shared" si="82"/>
        <v>2.5999999999999999E-2</v>
      </c>
      <c r="G659" s="87">
        <v>0.26</v>
      </c>
      <c r="H659" s="87">
        <v>0.27900000000000003</v>
      </c>
      <c r="I659" s="87">
        <v>6.0999999999999999E-2</v>
      </c>
      <c r="J659" s="87">
        <v>2.5999999999999999E-2</v>
      </c>
      <c r="K659" s="25">
        <f>((3/3)*L650)+((9/3)*L662)</f>
        <v>106052</v>
      </c>
      <c r="L659" s="95"/>
      <c r="M659" s="82">
        <f t="shared" si="76"/>
        <v>0.6</v>
      </c>
      <c r="N659" s="82">
        <v>0.26</v>
      </c>
      <c r="O659" s="82">
        <f t="shared" si="77"/>
        <v>0.61</v>
      </c>
      <c r="P659" s="82">
        <v>0.34620000000000001</v>
      </c>
      <c r="Q659" s="82">
        <v>0.69640000000000002</v>
      </c>
      <c r="R659" s="82">
        <v>0.6</v>
      </c>
      <c r="S659" s="82">
        <v>0.61</v>
      </c>
    </row>
    <row r="660" spans="1:19">
      <c r="A660" s="19">
        <f t="shared" si="80"/>
        <v>57526</v>
      </c>
      <c r="B660" s="19">
        <f t="shared" si="79"/>
        <v>57890</v>
      </c>
      <c r="C660" s="86">
        <f t="shared" si="82"/>
        <v>0.26</v>
      </c>
      <c r="D660" s="86">
        <f t="shared" si="82"/>
        <v>0.27900000000000003</v>
      </c>
      <c r="E660" s="86">
        <f t="shared" si="82"/>
        <v>6.0999999999999999E-2</v>
      </c>
      <c r="F660" s="86">
        <f t="shared" si="82"/>
        <v>2.5999999999999999E-2</v>
      </c>
      <c r="G660" s="87">
        <v>0.26</v>
      </c>
      <c r="H660" s="87">
        <v>0.27900000000000003</v>
      </c>
      <c r="I660" s="87">
        <v>6.0999999999999999E-2</v>
      </c>
      <c r="J660" s="87">
        <v>2.5999999999999999E-2</v>
      </c>
      <c r="K660" s="25">
        <f>((2/3)*L650)+((10/3)*L662)</f>
        <v>106478</v>
      </c>
      <c r="L660" s="95"/>
      <c r="M660" s="82">
        <f t="shared" si="76"/>
        <v>0.6</v>
      </c>
      <c r="N660" s="82">
        <v>0.26</v>
      </c>
      <c r="O660" s="82">
        <f t="shared" si="77"/>
        <v>0.61</v>
      </c>
      <c r="P660" s="82">
        <v>0.34620000000000001</v>
      </c>
      <c r="Q660" s="82">
        <v>0.69640000000000002</v>
      </c>
      <c r="R660" s="82">
        <v>0.6</v>
      </c>
      <c r="S660" s="82">
        <v>0.61</v>
      </c>
    </row>
    <row r="661" spans="1:19">
      <c r="A661" s="19">
        <f t="shared" si="80"/>
        <v>57557</v>
      </c>
      <c r="B661" s="19">
        <f t="shared" si="79"/>
        <v>57921</v>
      </c>
      <c r="C661" s="83">
        <f t="shared" si="82"/>
        <v>0.26</v>
      </c>
      <c r="D661" s="83">
        <f t="shared" si="82"/>
        <v>0.27900000000000003</v>
      </c>
      <c r="E661" s="83">
        <f t="shared" si="82"/>
        <v>6.0999999999999999E-2</v>
      </c>
      <c r="F661" s="83">
        <f t="shared" si="82"/>
        <v>2.5999999999999999E-2</v>
      </c>
      <c r="G661" s="87">
        <v>0.26</v>
      </c>
      <c r="H661" s="87">
        <v>0.27900000000000003</v>
      </c>
      <c r="I661" s="87">
        <v>6.0999999999999999E-2</v>
      </c>
      <c r="J661" s="87">
        <v>2.5999999999999999E-2</v>
      </c>
      <c r="K661" s="25">
        <f>((1/3)*L650)+((11/3)*L662)</f>
        <v>106903</v>
      </c>
      <c r="L661" s="95"/>
      <c r="M661" s="82">
        <f t="shared" si="76"/>
        <v>0.6</v>
      </c>
      <c r="N661" s="82">
        <v>0.26</v>
      </c>
      <c r="O661" s="82">
        <f t="shared" si="77"/>
        <v>0.61</v>
      </c>
      <c r="P661" s="82">
        <v>0.34620000000000001</v>
      </c>
      <c r="Q661" s="82">
        <v>0.69640000000000002</v>
      </c>
      <c r="R661" s="82">
        <v>0.6</v>
      </c>
      <c r="S661" s="82">
        <v>0.61</v>
      </c>
    </row>
    <row r="662" spans="1:19" s="80" customFormat="1">
      <c r="A662" s="79">
        <f t="shared" si="80"/>
        <v>57588</v>
      </c>
      <c r="B662" s="79">
        <f t="shared" si="79"/>
        <v>57952</v>
      </c>
      <c r="C662" s="88">
        <f t="shared" si="82"/>
        <v>0.26</v>
      </c>
      <c r="D662" s="88">
        <f t="shared" si="82"/>
        <v>0.27900000000000003</v>
      </c>
      <c r="E662" s="88">
        <f t="shared" si="82"/>
        <v>6.0999999999999999E-2</v>
      </c>
      <c r="F662" s="88">
        <f t="shared" si="82"/>
        <v>2.5999999999999999E-2</v>
      </c>
      <c r="G662" s="89">
        <v>0.26</v>
      </c>
      <c r="H662" s="89">
        <v>0.27900000000000003</v>
      </c>
      <c r="I662" s="89">
        <v>6.0999999999999999E-2</v>
      </c>
      <c r="J662" s="89">
        <v>2.5999999999999999E-2</v>
      </c>
      <c r="K662" s="78">
        <f>(L662*4)</f>
        <v>107329</v>
      </c>
      <c r="L662" s="96">
        <f>L650*1.05</f>
        <v>26832.35</v>
      </c>
      <c r="M662" s="355">
        <f t="shared" si="76"/>
        <v>0.6</v>
      </c>
      <c r="N662" s="355">
        <v>0.26</v>
      </c>
      <c r="O662" s="355">
        <f t="shared" si="77"/>
        <v>0.61</v>
      </c>
      <c r="P662" s="355">
        <v>0.34620000000000001</v>
      </c>
      <c r="Q662" s="355">
        <v>0.69640000000000002</v>
      </c>
      <c r="R662" s="355">
        <v>0.6</v>
      </c>
      <c r="S662" s="355">
        <v>0.61</v>
      </c>
    </row>
    <row r="663" spans="1:19" s="80" customFormat="1">
      <c r="A663" s="79">
        <f t="shared" si="80"/>
        <v>57618</v>
      </c>
      <c r="B663" s="79">
        <f t="shared" si="79"/>
        <v>57982</v>
      </c>
      <c r="C663" s="88">
        <f t="shared" si="82"/>
        <v>0.26</v>
      </c>
      <c r="D663" s="88">
        <f t="shared" si="82"/>
        <v>0.27900000000000003</v>
      </c>
      <c r="E663" s="88">
        <f t="shared" si="82"/>
        <v>6.0999999999999999E-2</v>
      </c>
      <c r="F663" s="88">
        <f t="shared" si="82"/>
        <v>2.5999999999999999E-2</v>
      </c>
      <c r="G663" s="89">
        <v>0.26</v>
      </c>
      <c r="H663" s="89">
        <v>0.27900000000000003</v>
      </c>
      <c r="I663" s="89">
        <v>6.0999999999999999E-2</v>
      </c>
      <c r="J663" s="89">
        <v>2.5999999999999999E-2</v>
      </c>
      <c r="K663" s="78">
        <f>((11/3)*L662)+((1/3)*L674)</f>
        <v>107777</v>
      </c>
      <c r="L663" s="96"/>
      <c r="M663" s="355">
        <f t="shared" si="76"/>
        <v>0.6</v>
      </c>
      <c r="N663" s="355">
        <v>0.26</v>
      </c>
      <c r="O663" s="355">
        <f t="shared" si="77"/>
        <v>0.61</v>
      </c>
      <c r="P663" s="355">
        <v>0.34620000000000001</v>
      </c>
      <c r="Q663" s="355">
        <v>0.69640000000000002</v>
      </c>
      <c r="R663" s="355">
        <v>0.6</v>
      </c>
      <c r="S663" s="355">
        <v>0.61</v>
      </c>
    </row>
    <row r="664" spans="1:19" s="80" customFormat="1">
      <c r="A664" s="79">
        <f t="shared" si="80"/>
        <v>57649</v>
      </c>
      <c r="B664" s="79">
        <f t="shared" si="79"/>
        <v>58013</v>
      </c>
      <c r="C664" s="88">
        <f t="shared" si="82"/>
        <v>0.26</v>
      </c>
      <c r="D664" s="88">
        <f t="shared" si="82"/>
        <v>0.27900000000000003</v>
      </c>
      <c r="E664" s="88">
        <f t="shared" si="82"/>
        <v>6.0999999999999999E-2</v>
      </c>
      <c r="F664" s="88">
        <f t="shared" si="82"/>
        <v>2.5999999999999999E-2</v>
      </c>
      <c r="G664" s="89">
        <v>0.26</v>
      </c>
      <c r="H664" s="89">
        <v>0.27900000000000003</v>
      </c>
      <c r="I664" s="89">
        <v>6.0999999999999999E-2</v>
      </c>
      <c r="J664" s="89">
        <v>2.5999999999999999E-2</v>
      </c>
      <c r="K664" s="78">
        <f>((10/3)*L662)+((2/3)*L674)</f>
        <v>108224</v>
      </c>
      <c r="L664" s="96"/>
      <c r="M664" s="355">
        <f t="shared" si="76"/>
        <v>0.6</v>
      </c>
      <c r="N664" s="355">
        <v>0.26</v>
      </c>
      <c r="O664" s="355">
        <f t="shared" si="77"/>
        <v>0.61</v>
      </c>
      <c r="P664" s="355">
        <v>0.34620000000000001</v>
      </c>
      <c r="Q664" s="355">
        <v>0.69640000000000002</v>
      </c>
      <c r="R664" s="355">
        <v>0.6</v>
      </c>
      <c r="S664" s="355">
        <v>0.61</v>
      </c>
    </row>
    <row r="665" spans="1:19" s="80" customFormat="1">
      <c r="A665" s="79">
        <f t="shared" si="80"/>
        <v>57679</v>
      </c>
      <c r="B665" s="79">
        <f t="shared" si="79"/>
        <v>58043</v>
      </c>
      <c r="C665" s="88">
        <f t="shared" si="82"/>
        <v>0.26</v>
      </c>
      <c r="D665" s="88">
        <f t="shared" si="82"/>
        <v>0.27900000000000003</v>
      </c>
      <c r="E665" s="88">
        <f t="shared" si="82"/>
        <v>6.0999999999999999E-2</v>
      </c>
      <c r="F665" s="88">
        <f t="shared" si="82"/>
        <v>2.5999999999999999E-2</v>
      </c>
      <c r="G665" s="89">
        <v>0.26</v>
      </c>
      <c r="H665" s="89">
        <v>0.27900000000000003</v>
      </c>
      <c r="I665" s="89">
        <v>6.0999999999999999E-2</v>
      </c>
      <c r="J665" s="89">
        <v>2.5999999999999999E-2</v>
      </c>
      <c r="K665" s="78">
        <f>((9/3)*L662)+((3/3)*L674)</f>
        <v>108671</v>
      </c>
      <c r="L665" s="96"/>
      <c r="M665" s="355">
        <f t="shared" si="76"/>
        <v>0.6</v>
      </c>
      <c r="N665" s="355">
        <v>0.26</v>
      </c>
      <c r="O665" s="355">
        <f t="shared" si="77"/>
        <v>0.61</v>
      </c>
      <c r="P665" s="355">
        <v>0.34620000000000001</v>
      </c>
      <c r="Q665" s="355">
        <v>0.69640000000000002</v>
      </c>
      <c r="R665" s="355">
        <v>0.6</v>
      </c>
      <c r="S665" s="355">
        <v>0.61</v>
      </c>
    </row>
    <row r="666" spans="1:19" s="80" customFormat="1">
      <c r="A666" s="79">
        <f t="shared" si="80"/>
        <v>57710</v>
      </c>
      <c r="B666" s="79">
        <f t="shared" si="79"/>
        <v>58074</v>
      </c>
      <c r="C666" s="88">
        <f t="shared" si="82"/>
        <v>0.26</v>
      </c>
      <c r="D666" s="88">
        <f t="shared" si="82"/>
        <v>0.27900000000000003</v>
      </c>
      <c r="E666" s="88">
        <f t="shared" si="82"/>
        <v>6.0999999999999999E-2</v>
      </c>
      <c r="F666" s="88">
        <f t="shared" si="82"/>
        <v>2.5999999999999999E-2</v>
      </c>
      <c r="G666" s="89">
        <v>0.26</v>
      </c>
      <c r="H666" s="89">
        <v>0.27900000000000003</v>
      </c>
      <c r="I666" s="89">
        <v>6.0999999999999999E-2</v>
      </c>
      <c r="J666" s="89">
        <v>2.5999999999999999E-2</v>
      </c>
      <c r="K666" s="78">
        <f>((8/3)*L662)+((4/3)*L674)</f>
        <v>109118</v>
      </c>
      <c r="L666" s="96"/>
      <c r="M666" s="355">
        <f t="shared" si="76"/>
        <v>0.6</v>
      </c>
      <c r="N666" s="355">
        <v>0.26</v>
      </c>
      <c r="O666" s="355">
        <f t="shared" si="77"/>
        <v>0.61</v>
      </c>
      <c r="P666" s="355">
        <v>0.34620000000000001</v>
      </c>
      <c r="Q666" s="355">
        <v>0.69640000000000002</v>
      </c>
      <c r="R666" s="355">
        <v>0.6</v>
      </c>
      <c r="S666" s="355">
        <v>0.61</v>
      </c>
    </row>
    <row r="667" spans="1:19" s="80" customFormat="1">
      <c r="A667" s="79">
        <f t="shared" si="80"/>
        <v>57741</v>
      </c>
      <c r="B667" s="79">
        <f t="shared" si="79"/>
        <v>58105</v>
      </c>
      <c r="C667" s="88">
        <f t="shared" si="82"/>
        <v>0.26</v>
      </c>
      <c r="D667" s="88">
        <f t="shared" si="82"/>
        <v>0.27900000000000003</v>
      </c>
      <c r="E667" s="88">
        <f t="shared" si="82"/>
        <v>6.0999999999999999E-2</v>
      </c>
      <c r="F667" s="88">
        <f t="shared" si="82"/>
        <v>2.5999999999999999E-2</v>
      </c>
      <c r="G667" s="89">
        <v>0.26</v>
      </c>
      <c r="H667" s="89">
        <v>0.27900000000000003</v>
      </c>
      <c r="I667" s="89">
        <v>6.0999999999999999E-2</v>
      </c>
      <c r="J667" s="89">
        <v>2.5999999999999999E-2</v>
      </c>
      <c r="K667" s="78">
        <f>((7/3)*L662)+((5/3)*L674)</f>
        <v>109565</v>
      </c>
      <c r="L667" s="96"/>
      <c r="M667" s="355">
        <f t="shared" si="76"/>
        <v>0.6</v>
      </c>
      <c r="N667" s="355">
        <v>0.26</v>
      </c>
      <c r="O667" s="355">
        <f t="shared" si="77"/>
        <v>0.61</v>
      </c>
      <c r="P667" s="355">
        <v>0.34620000000000001</v>
      </c>
      <c r="Q667" s="355">
        <v>0.69640000000000002</v>
      </c>
      <c r="R667" s="355">
        <v>0.6</v>
      </c>
      <c r="S667" s="355">
        <v>0.61</v>
      </c>
    </row>
    <row r="668" spans="1:19" s="80" customFormat="1">
      <c r="A668" s="79">
        <f t="shared" si="80"/>
        <v>57769</v>
      </c>
      <c r="B668" s="79">
        <f t="shared" si="79"/>
        <v>58133</v>
      </c>
      <c r="C668" s="88">
        <f t="shared" si="82"/>
        <v>0.26</v>
      </c>
      <c r="D668" s="88">
        <f t="shared" si="82"/>
        <v>0.27900000000000003</v>
      </c>
      <c r="E668" s="88">
        <f t="shared" si="82"/>
        <v>6.0999999999999999E-2</v>
      </c>
      <c r="F668" s="88">
        <f t="shared" si="82"/>
        <v>2.5999999999999999E-2</v>
      </c>
      <c r="G668" s="89">
        <v>0.26</v>
      </c>
      <c r="H668" s="89">
        <v>0.27900000000000003</v>
      </c>
      <c r="I668" s="89">
        <v>6.0999999999999999E-2</v>
      </c>
      <c r="J668" s="89">
        <v>2.5999999999999999E-2</v>
      </c>
      <c r="K668" s="78">
        <f>((6/3)*L662)+((6/3)*L674)</f>
        <v>110013</v>
      </c>
      <c r="L668" s="96"/>
      <c r="M668" s="355">
        <f t="shared" si="76"/>
        <v>0.6</v>
      </c>
      <c r="N668" s="355">
        <v>0.26</v>
      </c>
      <c r="O668" s="355">
        <f t="shared" si="77"/>
        <v>0.61</v>
      </c>
      <c r="P668" s="355">
        <v>0.34620000000000001</v>
      </c>
      <c r="Q668" s="355">
        <v>0.69640000000000002</v>
      </c>
      <c r="R668" s="355">
        <v>0.6</v>
      </c>
      <c r="S668" s="355">
        <v>0.61</v>
      </c>
    </row>
    <row r="669" spans="1:19" s="80" customFormat="1">
      <c r="A669" s="79">
        <f t="shared" si="80"/>
        <v>57800</v>
      </c>
      <c r="B669" s="79">
        <f t="shared" si="79"/>
        <v>58164</v>
      </c>
      <c r="C669" s="88">
        <f t="shared" si="82"/>
        <v>0.26</v>
      </c>
      <c r="D669" s="88">
        <f t="shared" si="82"/>
        <v>0.27900000000000003</v>
      </c>
      <c r="E669" s="88">
        <f t="shared" si="82"/>
        <v>6.0999999999999999E-2</v>
      </c>
      <c r="F669" s="88">
        <f t="shared" si="82"/>
        <v>2.5999999999999999E-2</v>
      </c>
      <c r="G669" s="89">
        <v>0.26</v>
      </c>
      <c r="H669" s="89">
        <v>0.27900000000000003</v>
      </c>
      <c r="I669" s="89">
        <v>6.0999999999999999E-2</v>
      </c>
      <c r="J669" s="89">
        <v>2.5999999999999999E-2</v>
      </c>
      <c r="K669" s="78">
        <f>((5/3)*L662)+((7/3)*L674)</f>
        <v>110460</v>
      </c>
      <c r="L669" s="96"/>
      <c r="M669" s="355">
        <f t="shared" si="76"/>
        <v>0.6</v>
      </c>
      <c r="N669" s="355">
        <v>0.26</v>
      </c>
      <c r="O669" s="355">
        <f t="shared" si="77"/>
        <v>0.61</v>
      </c>
      <c r="P669" s="355">
        <v>0.34620000000000001</v>
      </c>
      <c r="Q669" s="355">
        <v>0.69640000000000002</v>
      </c>
      <c r="R669" s="355">
        <v>0.6</v>
      </c>
      <c r="S669" s="355">
        <v>0.61</v>
      </c>
    </row>
    <row r="670" spans="1:19" s="80" customFormat="1">
      <c r="A670" s="79">
        <f t="shared" si="80"/>
        <v>57830</v>
      </c>
      <c r="B670" s="79">
        <f t="shared" si="79"/>
        <v>58194</v>
      </c>
      <c r="C670" s="88">
        <f t="shared" si="82"/>
        <v>0.26</v>
      </c>
      <c r="D670" s="88">
        <f t="shared" si="82"/>
        <v>0.27900000000000003</v>
      </c>
      <c r="E670" s="88">
        <f t="shared" si="82"/>
        <v>6.0999999999999999E-2</v>
      </c>
      <c r="F670" s="88">
        <f t="shared" si="82"/>
        <v>2.5999999999999999E-2</v>
      </c>
      <c r="G670" s="89">
        <v>0.26</v>
      </c>
      <c r="H670" s="89">
        <v>0.27900000000000003</v>
      </c>
      <c r="I670" s="89">
        <v>6.0999999999999999E-2</v>
      </c>
      <c r="J670" s="89">
        <v>2.5999999999999999E-2</v>
      </c>
      <c r="K670" s="78">
        <f>((4/3)*L662)+((8/3)*L674)</f>
        <v>110907</v>
      </c>
      <c r="L670" s="96"/>
      <c r="M670" s="355">
        <f t="shared" si="76"/>
        <v>0.6</v>
      </c>
      <c r="N670" s="355">
        <v>0.26</v>
      </c>
      <c r="O670" s="355">
        <f t="shared" si="77"/>
        <v>0.61</v>
      </c>
      <c r="P670" s="355">
        <v>0.34620000000000001</v>
      </c>
      <c r="Q670" s="355">
        <v>0.69640000000000002</v>
      </c>
      <c r="R670" s="355">
        <v>0.6</v>
      </c>
      <c r="S670" s="355">
        <v>0.61</v>
      </c>
    </row>
    <row r="671" spans="1:19" s="80" customFormat="1">
      <c r="A671" s="79">
        <f t="shared" si="80"/>
        <v>57861</v>
      </c>
      <c r="B671" s="79">
        <f t="shared" si="79"/>
        <v>58225</v>
      </c>
      <c r="C671" s="88">
        <f t="shared" si="82"/>
        <v>0.26</v>
      </c>
      <c r="D671" s="88">
        <f t="shared" si="82"/>
        <v>0.27900000000000003</v>
      </c>
      <c r="E671" s="88">
        <f t="shared" si="82"/>
        <v>6.0999999999999999E-2</v>
      </c>
      <c r="F671" s="88">
        <f t="shared" si="82"/>
        <v>2.5999999999999999E-2</v>
      </c>
      <c r="G671" s="89">
        <v>0.26</v>
      </c>
      <c r="H671" s="89">
        <v>0.27900000000000003</v>
      </c>
      <c r="I671" s="89">
        <v>6.0999999999999999E-2</v>
      </c>
      <c r="J671" s="89">
        <v>2.5999999999999999E-2</v>
      </c>
      <c r="K671" s="78">
        <f>((3/3)*L662)+((9/3)*L674)</f>
        <v>111354</v>
      </c>
      <c r="L671" s="96"/>
      <c r="M671" s="355">
        <f t="shared" si="76"/>
        <v>0.6</v>
      </c>
      <c r="N671" s="355">
        <v>0.26</v>
      </c>
      <c r="O671" s="355">
        <f t="shared" si="77"/>
        <v>0.61</v>
      </c>
      <c r="P671" s="355">
        <v>0.34620000000000001</v>
      </c>
      <c r="Q671" s="355">
        <v>0.69640000000000002</v>
      </c>
      <c r="R671" s="355">
        <v>0.6</v>
      </c>
      <c r="S671" s="355">
        <v>0.61</v>
      </c>
    </row>
    <row r="672" spans="1:19" s="80" customFormat="1">
      <c r="A672" s="79">
        <f t="shared" si="80"/>
        <v>57891</v>
      </c>
      <c r="B672" s="79">
        <f t="shared" si="79"/>
        <v>58255</v>
      </c>
      <c r="C672" s="88">
        <f t="shared" si="82"/>
        <v>0.26</v>
      </c>
      <c r="D672" s="88">
        <f t="shared" si="82"/>
        <v>0.27900000000000003</v>
      </c>
      <c r="E672" s="88">
        <f t="shared" si="82"/>
        <v>6.0999999999999999E-2</v>
      </c>
      <c r="F672" s="88">
        <f t="shared" si="82"/>
        <v>2.5999999999999999E-2</v>
      </c>
      <c r="G672" s="89">
        <v>0.26</v>
      </c>
      <c r="H672" s="89">
        <v>0.27900000000000003</v>
      </c>
      <c r="I672" s="89">
        <v>6.0999999999999999E-2</v>
      </c>
      <c r="J672" s="89">
        <v>2.5999999999999999E-2</v>
      </c>
      <c r="K672" s="78">
        <f>((2/3)*L662)+((10/3)*L674)</f>
        <v>111801</v>
      </c>
      <c r="L672" s="96"/>
      <c r="M672" s="355">
        <f t="shared" si="76"/>
        <v>0.6</v>
      </c>
      <c r="N672" s="355">
        <v>0.26</v>
      </c>
      <c r="O672" s="355">
        <f t="shared" si="77"/>
        <v>0.61</v>
      </c>
      <c r="P672" s="355">
        <v>0.34620000000000001</v>
      </c>
      <c r="Q672" s="355">
        <v>0.69640000000000002</v>
      </c>
      <c r="R672" s="355">
        <v>0.6</v>
      </c>
      <c r="S672" s="355">
        <v>0.61</v>
      </c>
    </row>
    <row r="673" spans="1:19" s="80" customFormat="1">
      <c r="A673" s="79">
        <f t="shared" si="80"/>
        <v>57922</v>
      </c>
      <c r="B673" s="79">
        <f t="shared" si="79"/>
        <v>58286</v>
      </c>
      <c r="C673" s="88">
        <f t="shared" si="82"/>
        <v>0.26</v>
      </c>
      <c r="D673" s="88">
        <f t="shared" si="82"/>
        <v>0.27900000000000003</v>
      </c>
      <c r="E673" s="88">
        <f t="shared" si="82"/>
        <v>6.0999999999999999E-2</v>
      </c>
      <c r="F673" s="88">
        <f t="shared" si="82"/>
        <v>2.5999999999999999E-2</v>
      </c>
      <c r="G673" s="89">
        <v>0.26</v>
      </c>
      <c r="H673" s="89">
        <v>0.27900000000000003</v>
      </c>
      <c r="I673" s="89">
        <v>6.0999999999999999E-2</v>
      </c>
      <c r="J673" s="89">
        <v>2.5999999999999999E-2</v>
      </c>
      <c r="K673" s="78">
        <f>((1/3)*L662)+((11/3)*L674)</f>
        <v>112249</v>
      </c>
      <c r="L673" s="96"/>
      <c r="M673" s="355">
        <f t="shared" si="76"/>
        <v>0.6</v>
      </c>
      <c r="N673" s="355">
        <v>0.26</v>
      </c>
      <c r="O673" s="355">
        <f t="shared" si="77"/>
        <v>0.61</v>
      </c>
      <c r="P673" s="355">
        <v>0.34620000000000001</v>
      </c>
      <c r="Q673" s="355">
        <v>0.69640000000000002</v>
      </c>
      <c r="R673" s="355">
        <v>0.6</v>
      </c>
      <c r="S673" s="355">
        <v>0.61</v>
      </c>
    </row>
    <row r="674" spans="1:19">
      <c r="A674" s="19">
        <f t="shared" si="80"/>
        <v>57953</v>
      </c>
      <c r="B674" s="19">
        <f t="shared" si="79"/>
        <v>58317</v>
      </c>
      <c r="C674" s="86">
        <f t="shared" si="82"/>
        <v>0.26</v>
      </c>
      <c r="D674" s="86">
        <f t="shared" si="82"/>
        <v>0.27900000000000003</v>
      </c>
      <c r="E674" s="86">
        <f t="shared" si="82"/>
        <v>6.0999999999999999E-2</v>
      </c>
      <c r="F674" s="86">
        <f t="shared" si="82"/>
        <v>2.5999999999999999E-2</v>
      </c>
      <c r="G674" s="87">
        <v>0.26</v>
      </c>
      <c r="H674" s="87">
        <v>0.27900000000000003</v>
      </c>
      <c r="I674" s="87">
        <v>6.0999999999999999E-2</v>
      </c>
      <c r="J674" s="87">
        <v>2.5999999999999999E-2</v>
      </c>
      <c r="K674" s="25">
        <f>(L674*4)</f>
        <v>112696</v>
      </c>
      <c r="L674" s="95">
        <f>L662*1.05</f>
        <v>28173.97</v>
      </c>
      <c r="M674" s="82">
        <f t="shared" si="76"/>
        <v>0.6</v>
      </c>
      <c r="N674" s="82">
        <v>0.26</v>
      </c>
      <c r="O674" s="82">
        <f t="shared" si="77"/>
        <v>0.61</v>
      </c>
      <c r="P674" s="82">
        <v>0.34620000000000001</v>
      </c>
      <c r="Q674" s="82">
        <v>0.69640000000000002</v>
      </c>
      <c r="R674" s="82">
        <v>0.6</v>
      </c>
      <c r="S674" s="82">
        <v>0.61</v>
      </c>
    </row>
    <row r="675" spans="1:19">
      <c r="A675" s="19">
        <f t="shared" si="80"/>
        <v>57983</v>
      </c>
      <c r="B675" s="19">
        <f t="shared" si="79"/>
        <v>58347</v>
      </c>
      <c r="C675" s="86">
        <f t="shared" ref="C675:F690" si="83">AVERAGE(G675:G686)</f>
        <v>0.26</v>
      </c>
      <c r="D675" s="86">
        <f t="shared" si="83"/>
        <v>0.27900000000000003</v>
      </c>
      <c r="E675" s="86">
        <f t="shared" si="83"/>
        <v>6.0999999999999999E-2</v>
      </c>
      <c r="F675" s="86">
        <f t="shared" si="83"/>
        <v>2.5999999999999999E-2</v>
      </c>
      <c r="G675" s="87">
        <v>0.26</v>
      </c>
      <c r="H675" s="87">
        <v>0.27900000000000003</v>
      </c>
      <c r="I675" s="87">
        <v>6.0999999999999999E-2</v>
      </c>
      <c r="J675" s="87">
        <v>2.5999999999999999E-2</v>
      </c>
      <c r="K675" s="25">
        <f>((11/3)*L674)+((1/3)*L686)</f>
        <v>113165</v>
      </c>
      <c r="L675" s="95"/>
      <c r="M675" s="82">
        <f t="shared" si="76"/>
        <v>0.6</v>
      </c>
      <c r="N675" s="82">
        <v>0.26</v>
      </c>
      <c r="O675" s="82">
        <f t="shared" si="77"/>
        <v>0.61</v>
      </c>
      <c r="P675" s="82">
        <v>0.34620000000000001</v>
      </c>
      <c r="Q675" s="82">
        <v>0.69640000000000002</v>
      </c>
      <c r="R675" s="82">
        <v>0.6</v>
      </c>
      <c r="S675" s="82">
        <v>0.61</v>
      </c>
    </row>
    <row r="676" spans="1:19">
      <c r="A676" s="19">
        <f t="shared" si="80"/>
        <v>58014</v>
      </c>
      <c r="B676" s="19">
        <f t="shared" si="79"/>
        <v>58378</v>
      </c>
      <c r="C676" s="86">
        <f t="shared" si="83"/>
        <v>0.26</v>
      </c>
      <c r="D676" s="86">
        <f t="shared" si="83"/>
        <v>0.27900000000000003</v>
      </c>
      <c r="E676" s="86">
        <f t="shared" si="83"/>
        <v>6.0999999999999999E-2</v>
      </c>
      <c r="F676" s="86">
        <f t="shared" si="83"/>
        <v>2.5999999999999999E-2</v>
      </c>
      <c r="G676" s="87">
        <v>0.26</v>
      </c>
      <c r="H676" s="87">
        <v>0.27900000000000003</v>
      </c>
      <c r="I676" s="87">
        <v>6.0999999999999999E-2</v>
      </c>
      <c r="J676" s="87">
        <v>2.5999999999999999E-2</v>
      </c>
      <c r="K676" s="25">
        <f>((10/3)*L674)+((2/3)*L686)</f>
        <v>113635</v>
      </c>
      <c r="L676" s="95"/>
      <c r="M676" s="82">
        <f t="shared" si="76"/>
        <v>0.6</v>
      </c>
      <c r="N676" s="82">
        <v>0.26</v>
      </c>
      <c r="O676" s="82">
        <f t="shared" si="77"/>
        <v>0.61</v>
      </c>
      <c r="P676" s="82">
        <v>0.34620000000000001</v>
      </c>
      <c r="Q676" s="82">
        <v>0.69640000000000002</v>
      </c>
      <c r="R676" s="82">
        <v>0.6</v>
      </c>
      <c r="S676" s="82">
        <v>0.61</v>
      </c>
    </row>
    <row r="677" spans="1:19">
      <c r="A677" s="19">
        <f t="shared" si="80"/>
        <v>58044</v>
      </c>
      <c r="B677" s="19">
        <f t="shared" si="79"/>
        <v>58408</v>
      </c>
      <c r="C677" s="86">
        <f t="shared" si="83"/>
        <v>0.26</v>
      </c>
      <c r="D677" s="86">
        <f t="shared" si="83"/>
        <v>0.27900000000000003</v>
      </c>
      <c r="E677" s="86">
        <f t="shared" si="83"/>
        <v>6.0999999999999999E-2</v>
      </c>
      <c r="F677" s="86">
        <f t="shared" si="83"/>
        <v>2.5999999999999999E-2</v>
      </c>
      <c r="G677" s="87">
        <v>0.26</v>
      </c>
      <c r="H677" s="87">
        <v>0.27900000000000003</v>
      </c>
      <c r="I677" s="87">
        <v>6.0999999999999999E-2</v>
      </c>
      <c r="J677" s="87">
        <v>2.5999999999999999E-2</v>
      </c>
      <c r="K677" s="25">
        <f>((9/3)*L674)+((3/3)*L686)</f>
        <v>114105</v>
      </c>
      <c r="L677" s="95"/>
      <c r="M677" s="82">
        <f t="shared" si="76"/>
        <v>0.6</v>
      </c>
      <c r="N677" s="82">
        <v>0.26</v>
      </c>
      <c r="O677" s="82">
        <f t="shared" si="77"/>
        <v>0.61</v>
      </c>
      <c r="P677" s="82">
        <v>0.34620000000000001</v>
      </c>
      <c r="Q677" s="82">
        <v>0.69640000000000002</v>
      </c>
      <c r="R677" s="82">
        <v>0.6</v>
      </c>
      <c r="S677" s="82">
        <v>0.61</v>
      </c>
    </row>
    <row r="678" spans="1:19">
      <c r="A678" s="19">
        <f t="shared" si="80"/>
        <v>58075</v>
      </c>
      <c r="B678" s="19">
        <f t="shared" si="79"/>
        <v>58439</v>
      </c>
      <c r="C678" s="86">
        <f t="shared" si="83"/>
        <v>0.26</v>
      </c>
      <c r="D678" s="86">
        <f t="shared" si="83"/>
        <v>0.27900000000000003</v>
      </c>
      <c r="E678" s="86">
        <f t="shared" si="83"/>
        <v>6.0999999999999999E-2</v>
      </c>
      <c r="F678" s="86">
        <f t="shared" si="83"/>
        <v>2.5999999999999999E-2</v>
      </c>
      <c r="G678" s="87">
        <v>0.26</v>
      </c>
      <c r="H678" s="87">
        <v>0.27900000000000003</v>
      </c>
      <c r="I678" s="87">
        <v>6.0999999999999999E-2</v>
      </c>
      <c r="J678" s="87">
        <v>2.5999999999999999E-2</v>
      </c>
      <c r="K678" s="25">
        <f>((8/3)*L674)+((4/3)*L686)</f>
        <v>114574</v>
      </c>
      <c r="L678" s="95"/>
      <c r="M678" s="82">
        <f t="shared" si="76"/>
        <v>0.6</v>
      </c>
      <c r="N678" s="82">
        <v>0.26</v>
      </c>
      <c r="O678" s="82">
        <f t="shared" si="77"/>
        <v>0.61</v>
      </c>
      <c r="P678" s="82">
        <v>0.34620000000000001</v>
      </c>
      <c r="Q678" s="82">
        <v>0.69640000000000002</v>
      </c>
      <c r="R678" s="82">
        <v>0.6</v>
      </c>
      <c r="S678" s="82">
        <v>0.61</v>
      </c>
    </row>
    <row r="679" spans="1:19">
      <c r="A679" s="19">
        <f t="shared" si="80"/>
        <v>58106</v>
      </c>
      <c r="B679" s="19">
        <f t="shared" si="79"/>
        <v>58470</v>
      </c>
      <c r="C679" s="86">
        <f t="shared" si="83"/>
        <v>0.26</v>
      </c>
      <c r="D679" s="86">
        <f t="shared" si="83"/>
        <v>0.27900000000000003</v>
      </c>
      <c r="E679" s="86">
        <f t="shared" si="83"/>
        <v>6.0999999999999999E-2</v>
      </c>
      <c r="F679" s="86">
        <f t="shared" si="83"/>
        <v>2.5999999999999999E-2</v>
      </c>
      <c r="G679" s="87">
        <v>0.26</v>
      </c>
      <c r="H679" s="87">
        <v>0.27900000000000003</v>
      </c>
      <c r="I679" s="87">
        <v>6.0999999999999999E-2</v>
      </c>
      <c r="J679" s="87">
        <v>2.5999999999999999E-2</v>
      </c>
      <c r="K679" s="25">
        <f>((7/3)*L674)+((5/3)*L686)</f>
        <v>115044</v>
      </c>
      <c r="L679" s="95"/>
      <c r="M679" s="82">
        <f t="shared" si="76"/>
        <v>0.6</v>
      </c>
      <c r="N679" s="82">
        <v>0.26</v>
      </c>
      <c r="O679" s="82">
        <f t="shared" si="77"/>
        <v>0.61</v>
      </c>
      <c r="P679" s="82">
        <v>0.34620000000000001</v>
      </c>
      <c r="Q679" s="82">
        <v>0.69640000000000002</v>
      </c>
      <c r="R679" s="82">
        <v>0.6</v>
      </c>
      <c r="S679" s="82">
        <v>0.61</v>
      </c>
    </row>
    <row r="680" spans="1:19">
      <c r="A680" s="19">
        <f t="shared" si="80"/>
        <v>58134</v>
      </c>
      <c r="B680" s="19">
        <f t="shared" si="79"/>
        <v>58499</v>
      </c>
      <c r="C680" s="86">
        <f t="shared" si="83"/>
        <v>0.26</v>
      </c>
      <c r="D680" s="86">
        <f t="shared" si="83"/>
        <v>0.27900000000000003</v>
      </c>
      <c r="E680" s="86">
        <f t="shared" si="83"/>
        <v>6.0999999999999999E-2</v>
      </c>
      <c r="F680" s="86">
        <f t="shared" si="83"/>
        <v>2.5999999999999999E-2</v>
      </c>
      <c r="G680" s="87">
        <v>0.26</v>
      </c>
      <c r="H680" s="87">
        <v>0.27900000000000003</v>
      </c>
      <c r="I680" s="87">
        <v>6.0999999999999999E-2</v>
      </c>
      <c r="J680" s="87">
        <v>2.5999999999999999E-2</v>
      </c>
      <c r="K680" s="25">
        <f>((6/3)*L674)+((6/3)*L686)</f>
        <v>115513</v>
      </c>
      <c r="L680" s="95"/>
      <c r="M680" s="82">
        <f t="shared" si="76"/>
        <v>0.6</v>
      </c>
      <c r="N680" s="82">
        <v>0.26</v>
      </c>
      <c r="O680" s="82">
        <f t="shared" si="77"/>
        <v>0.61</v>
      </c>
      <c r="P680" s="82">
        <v>0.34620000000000001</v>
      </c>
      <c r="Q680" s="82">
        <v>0.69640000000000002</v>
      </c>
      <c r="R680" s="82">
        <v>0.6</v>
      </c>
      <c r="S680" s="82">
        <v>0.61</v>
      </c>
    </row>
    <row r="681" spans="1:19">
      <c r="A681" s="19">
        <f t="shared" si="80"/>
        <v>58165</v>
      </c>
      <c r="B681" s="19">
        <f t="shared" si="79"/>
        <v>58530</v>
      </c>
      <c r="C681" s="86">
        <f t="shared" si="83"/>
        <v>0.26</v>
      </c>
      <c r="D681" s="86">
        <f t="shared" si="83"/>
        <v>0.27900000000000003</v>
      </c>
      <c r="E681" s="86">
        <f t="shared" si="83"/>
        <v>6.0999999999999999E-2</v>
      </c>
      <c r="F681" s="86">
        <f t="shared" si="83"/>
        <v>2.5999999999999999E-2</v>
      </c>
      <c r="G681" s="87">
        <v>0.26</v>
      </c>
      <c r="H681" s="87">
        <v>0.27900000000000003</v>
      </c>
      <c r="I681" s="87">
        <v>6.0999999999999999E-2</v>
      </c>
      <c r="J681" s="87">
        <v>2.5999999999999999E-2</v>
      </c>
      <c r="K681" s="25">
        <f>((5/3)*L674)+((7/3)*L686)</f>
        <v>115983</v>
      </c>
      <c r="L681" s="95"/>
      <c r="M681" s="82">
        <f t="shared" si="76"/>
        <v>0.6</v>
      </c>
      <c r="N681" s="82">
        <v>0.26</v>
      </c>
      <c r="O681" s="82">
        <f t="shared" si="77"/>
        <v>0.61</v>
      </c>
      <c r="P681" s="82">
        <v>0.34620000000000001</v>
      </c>
      <c r="Q681" s="82">
        <v>0.69640000000000002</v>
      </c>
      <c r="R681" s="82">
        <v>0.6</v>
      </c>
      <c r="S681" s="82">
        <v>0.61</v>
      </c>
    </row>
    <row r="682" spans="1:19">
      <c r="A682" s="19">
        <f t="shared" si="80"/>
        <v>58195</v>
      </c>
      <c r="B682" s="19">
        <f t="shared" si="79"/>
        <v>58560</v>
      </c>
      <c r="C682" s="86">
        <f t="shared" si="83"/>
        <v>0.26</v>
      </c>
      <c r="D682" s="86">
        <f t="shared" si="83"/>
        <v>0.27900000000000003</v>
      </c>
      <c r="E682" s="86">
        <f t="shared" si="83"/>
        <v>6.0999999999999999E-2</v>
      </c>
      <c r="F682" s="86">
        <f t="shared" si="83"/>
        <v>2.5999999999999999E-2</v>
      </c>
      <c r="G682" s="87">
        <v>0.26</v>
      </c>
      <c r="H682" s="87">
        <v>0.27900000000000003</v>
      </c>
      <c r="I682" s="87">
        <v>6.0999999999999999E-2</v>
      </c>
      <c r="J682" s="87">
        <v>2.5999999999999999E-2</v>
      </c>
      <c r="K682" s="25">
        <f>((4/3)*L674)+((8/3)*L686)</f>
        <v>116452</v>
      </c>
      <c r="L682" s="95"/>
      <c r="M682" s="82">
        <f t="shared" si="76"/>
        <v>0.6</v>
      </c>
      <c r="N682" s="82">
        <v>0.26</v>
      </c>
      <c r="O682" s="82">
        <f t="shared" si="77"/>
        <v>0.61</v>
      </c>
      <c r="P682" s="82">
        <v>0.34620000000000001</v>
      </c>
      <c r="Q682" s="82">
        <v>0.69640000000000002</v>
      </c>
      <c r="R682" s="82">
        <v>0.6</v>
      </c>
      <c r="S682" s="82">
        <v>0.61</v>
      </c>
    </row>
    <row r="683" spans="1:19">
      <c r="A683" s="19">
        <f t="shared" si="80"/>
        <v>58226</v>
      </c>
      <c r="B683" s="19">
        <f t="shared" si="79"/>
        <v>58591</v>
      </c>
      <c r="C683" s="86">
        <f t="shared" si="83"/>
        <v>0.26</v>
      </c>
      <c r="D683" s="86">
        <f t="shared" si="83"/>
        <v>0.27900000000000003</v>
      </c>
      <c r="E683" s="86">
        <f t="shared" si="83"/>
        <v>6.0999999999999999E-2</v>
      </c>
      <c r="F683" s="86">
        <f t="shared" si="83"/>
        <v>2.5999999999999999E-2</v>
      </c>
      <c r="G683" s="87">
        <v>0.26</v>
      </c>
      <c r="H683" s="87">
        <v>0.27900000000000003</v>
      </c>
      <c r="I683" s="87">
        <v>6.0999999999999999E-2</v>
      </c>
      <c r="J683" s="87">
        <v>2.5999999999999999E-2</v>
      </c>
      <c r="K683" s="25">
        <f>((3/3)*L674)+((9/3)*L686)</f>
        <v>116922</v>
      </c>
      <c r="L683" s="95"/>
      <c r="M683" s="82">
        <f t="shared" si="76"/>
        <v>0.6</v>
      </c>
      <c r="N683" s="82">
        <v>0.26</v>
      </c>
      <c r="O683" s="82">
        <f t="shared" si="77"/>
        <v>0.61</v>
      </c>
      <c r="P683" s="82">
        <v>0.34620000000000001</v>
      </c>
      <c r="Q683" s="82">
        <v>0.69640000000000002</v>
      </c>
      <c r="R683" s="82">
        <v>0.6</v>
      </c>
      <c r="S683" s="82">
        <v>0.61</v>
      </c>
    </row>
    <row r="684" spans="1:19">
      <c r="A684" s="19">
        <f t="shared" si="80"/>
        <v>58256</v>
      </c>
      <c r="B684" s="19">
        <f t="shared" si="79"/>
        <v>58621</v>
      </c>
      <c r="C684" s="86">
        <f t="shared" si="83"/>
        <v>0.26</v>
      </c>
      <c r="D684" s="86">
        <f t="shared" si="83"/>
        <v>0.27900000000000003</v>
      </c>
      <c r="E684" s="86">
        <f t="shared" si="83"/>
        <v>6.0999999999999999E-2</v>
      </c>
      <c r="F684" s="86">
        <f t="shared" si="83"/>
        <v>2.5999999999999999E-2</v>
      </c>
      <c r="G684" s="87">
        <v>0.26</v>
      </c>
      <c r="H684" s="87">
        <v>0.27900000000000003</v>
      </c>
      <c r="I684" s="87">
        <v>6.0999999999999999E-2</v>
      </c>
      <c r="J684" s="87">
        <v>2.5999999999999999E-2</v>
      </c>
      <c r="K684" s="25">
        <f>((2/3)*L674)+((10/3)*L686)</f>
        <v>117392</v>
      </c>
      <c r="L684" s="95"/>
      <c r="M684" s="82">
        <f t="shared" si="76"/>
        <v>0.6</v>
      </c>
      <c r="N684" s="82">
        <v>0.26</v>
      </c>
      <c r="O684" s="82">
        <f t="shared" si="77"/>
        <v>0.61</v>
      </c>
      <c r="P684" s="82">
        <v>0.34620000000000001</v>
      </c>
      <c r="Q684" s="82">
        <v>0.69640000000000002</v>
      </c>
      <c r="R684" s="82">
        <v>0.6</v>
      </c>
      <c r="S684" s="82">
        <v>0.61</v>
      </c>
    </row>
    <row r="685" spans="1:19">
      <c r="A685" s="19">
        <f t="shared" si="80"/>
        <v>58287</v>
      </c>
      <c r="B685" s="19">
        <f t="shared" si="79"/>
        <v>58652</v>
      </c>
      <c r="C685" s="83">
        <f t="shared" si="83"/>
        <v>0.26</v>
      </c>
      <c r="D685" s="83">
        <f t="shared" si="83"/>
        <v>0.27900000000000003</v>
      </c>
      <c r="E685" s="83">
        <f t="shared" si="83"/>
        <v>6.0999999999999999E-2</v>
      </c>
      <c r="F685" s="83">
        <f t="shared" si="83"/>
        <v>2.5999999999999999E-2</v>
      </c>
      <c r="G685" s="87">
        <v>0.26</v>
      </c>
      <c r="H685" s="87">
        <v>0.27900000000000003</v>
      </c>
      <c r="I685" s="87">
        <v>6.0999999999999999E-2</v>
      </c>
      <c r="J685" s="87">
        <v>2.5999999999999999E-2</v>
      </c>
      <c r="K685" s="25">
        <f>((1/3)*L674)+((11/3)*L686)</f>
        <v>117861</v>
      </c>
      <c r="L685" s="95"/>
      <c r="M685" s="82">
        <f t="shared" si="76"/>
        <v>0.6</v>
      </c>
      <c r="N685" s="82">
        <v>0.26</v>
      </c>
      <c r="O685" s="82">
        <f t="shared" si="77"/>
        <v>0.61</v>
      </c>
      <c r="P685" s="82">
        <v>0.34620000000000001</v>
      </c>
      <c r="Q685" s="82">
        <v>0.69640000000000002</v>
      </c>
      <c r="R685" s="82">
        <v>0.6</v>
      </c>
      <c r="S685" s="82">
        <v>0.61</v>
      </c>
    </row>
    <row r="686" spans="1:19" s="80" customFormat="1">
      <c r="A686" s="79">
        <f t="shared" si="80"/>
        <v>58318</v>
      </c>
      <c r="B686" s="79">
        <f t="shared" si="79"/>
        <v>58683</v>
      </c>
      <c r="C686" s="88">
        <f t="shared" si="83"/>
        <v>0.26</v>
      </c>
      <c r="D686" s="88">
        <f t="shared" si="83"/>
        <v>0.27900000000000003</v>
      </c>
      <c r="E686" s="88">
        <f t="shared" si="83"/>
        <v>6.0999999999999999E-2</v>
      </c>
      <c r="F686" s="88">
        <f t="shared" si="83"/>
        <v>2.5999999999999999E-2</v>
      </c>
      <c r="G686" s="89">
        <v>0.26</v>
      </c>
      <c r="H686" s="89">
        <v>0.27900000000000003</v>
      </c>
      <c r="I686" s="89">
        <v>6.0999999999999999E-2</v>
      </c>
      <c r="J686" s="89">
        <v>2.5999999999999999E-2</v>
      </c>
      <c r="K686" s="78">
        <f>(L686*4)</f>
        <v>118331</v>
      </c>
      <c r="L686" s="96">
        <f>L674*1.05</f>
        <v>29582.67</v>
      </c>
      <c r="M686" s="355">
        <f t="shared" si="76"/>
        <v>0.6</v>
      </c>
      <c r="N686" s="355">
        <v>0.26</v>
      </c>
      <c r="O686" s="355">
        <f t="shared" si="77"/>
        <v>0.61</v>
      </c>
      <c r="P686" s="355">
        <v>0.34620000000000001</v>
      </c>
      <c r="Q686" s="355">
        <v>0.69640000000000002</v>
      </c>
      <c r="R686" s="355">
        <v>0.6</v>
      </c>
      <c r="S686" s="355">
        <v>0.61</v>
      </c>
    </row>
    <row r="687" spans="1:19" s="80" customFormat="1">
      <c r="A687" s="79">
        <f t="shared" si="80"/>
        <v>58348</v>
      </c>
      <c r="B687" s="79">
        <f t="shared" si="79"/>
        <v>58713</v>
      </c>
      <c r="C687" s="88">
        <f t="shared" si="83"/>
        <v>0.26</v>
      </c>
      <c r="D687" s="88">
        <f t="shared" si="83"/>
        <v>0.27900000000000003</v>
      </c>
      <c r="E687" s="88">
        <f t="shared" si="83"/>
        <v>6.0999999999999999E-2</v>
      </c>
      <c r="F687" s="88">
        <f t="shared" si="83"/>
        <v>2.5999999999999999E-2</v>
      </c>
      <c r="G687" s="89">
        <v>0.26</v>
      </c>
      <c r="H687" s="89">
        <v>0.27900000000000003</v>
      </c>
      <c r="I687" s="89">
        <v>6.0999999999999999E-2</v>
      </c>
      <c r="J687" s="89">
        <v>2.5999999999999999E-2</v>
      </c>
      <c r="K687" s="78">
        <f>((11/3)*L686)+((1/3)*L698)</f>
        <v>118824</v>
      </c>
      <c r="L687" s="96"/>
      <c r="M687" s="355">
        <f t="shared" ref="M687:M750" si="84">AVERAGE(R687:R698)</f>
        <v>0.6</v>
      </c>
      <c r="N687" s="355">
        <v>0.26</v>
      </c>
      <c r="O687" s="355">
        <f t="shared" ref="O687:O750" si="85">AVERAGE(S687:S698)</f>
        <v>0.61</v>
      </c>
      <c r="P687" s="355">
        <v>0.34620000000000001</v>
      </c>
      <c r="Q687" s="355">
        <v>0.69640000000000002</v>
      </c>
      <c r="R687" s="355">
        <v>0.6</v>
      </c>
      <c r="S687" s="355">
        <v>0.61</v>
      </c>
    </row>
    <row r="688" spans="1:19" s="80" customFormat="1">
      <c r="A688" s="79">
        <f t="shared" si="80"/>
        <v>58379</v>
      </c>
      <c r="B688" s="79">
        <f t="shared" si="79"/>
        <v>58744</v>
      </c>
      <c r="C688" s="88">
        <f t="shared" si="83"/>
        <v>0.26</v>
      </c>
      <c r="D688" s="88">
        <f t="shared" si="83"/>
        <v>0.27900000000000003</v>
      </c>
      <c r="E688" s="88">
        <f t="shared" si="83"/>
        <v>6.0999999999999999E-2</v>
      </c>
      <c r="F688" s="88">
        <f t="shared" si="83"/>
        <v>2.5999999999999999E-2</v>
      </c>
      <c r="G688" s="89">
        <v>0.26</v>
      </c>
      <c r="H688" s="89">
        <v>0.27900000000000003</v>
      </c>
      <c r="I688" s="89">
        <v>6.0999999999999999E-2</v>
      </c>
      <c r="J688" s="89">
        <v>2.5999999999999999E-2</v>
      </c>
      <c r="K688" s="78">
        <f>((10/3)*L686)+((2/3)*L698)</f>
        <v>119317</v>
      </c>
      <c r="L688" s="96"/>
      <c r="M688" s="355">
        <f t="shared" si="84"/>
        <v>0.6</v>
      </c>
      <c r="N688" s="355">
        <v>0.26</v>
      </c>
      <c r="O688" s="355">
        <f t="shared" si="85"/>
        <v>0.61</v>
      </c>
      <c r="P688" s="355">
        <v>0.34620000000000001</v>
      </c>
      <c r="Q688" s="355">
        <v>0.69640000000000002</v>
      </c>
      <c r="R688" s="355">
        <v>0.6</v>
      </c>
      <c r="S688" s="355">
        <v>0.61</v>
      </c>
    </row>
    <row r="689" spans="1:19" s="80" customFormat="1">
      <c r="A689" s="79">
        <f t="shared" si="80"/>
        <v>58409</v>
      </c>
      <c r="B689" s="79">
        <f t="shared" si="79"/>
        <v>58774</v>
      </c>
      <c r="C689" s="88">
        <f t="shared" si="83"/>
        <v>0.26</v>
      </c>
      <c r="D689" s="88">
        <f t="shared" si="83"/>
        <v>0.27900000000000003</v>
      </c>
      <c r="E689" s="88">
        <f t="shared" si="83"/>
        <v>6.0999999999999999E-2</v>
      </c>
      <c r="F689" s="88">
        <f t="shared" si="83"/>
        <v>2.5999999999999999E-2</v>
      </c>
      <c r="G689" s="89">
        <v>0.26</v>
      </c>
      <c r="H689" s="89">
        <v>0.27900000000000003</v>
      </c>
      <c r="I689" s="89">
        <v>6.0999999999999999E-2</v>
      </c>
      <c r="J689" s="89">
        <v>2.5999999999999999E-2</v>
      </c>
      <c r="K689" s="78">
        <f>((9/3)*L686)+((3/3)*L698)</f>
        <v>119810</v>
      </c>
      <c r="L689" s="96"/>
      <c r="M689" s="355">
        <f t="shared" si="84"/>
        <v>0.6</v>
      </c>
      <c r="N689" s="355">
        <v>0.26</v>
      </c>
      <c r="O689" s="355">
        <f t="shared" si="85"/>
        <v>0.61</v>
      </c>
      <c r="P689" s="355">
        <v>0.34620000000000001</v>
      </c>
      <c r="Q689" s="355">
        <v>0.69640000000000002</v>
      </c>
      <c r="R689" s="355">
        <v>0.6</v>
      </c>
      <c r="S689" s="355">
        <v>0.61</v>
      </c>
    </row>
    <row r="690" spans="1:19" s="80" customFormat="1">
      <c r="A690" s="79">
        <f t="shared" si="80"/>
        <v>58440</v>
      </c>
      <c r="B690" s="79">
        <f t="shared" si="79"/>
        <v>58805</v>
      </c>
      <c r="C690" s="88">
        <f t="shared" si="83"/>
        <v>0.26</v>
      </c>
      <c r="D690" s="88">
        <f t="shared" si="83"/>
        <v>0.27900000000000003</v>
      </c>
      <c r="E690" s="88">
        <f t="shared" si="83"/>
        <v>6.0999999999999999E-2</v>
      </c>
      <c r="F690" s="88">
        <f t="shared" si="83"/>
        <v>2.5999999999999999E-2</v>
      </c>
      <c r="G690" s="89">
        <v>0.26</v>
      </c>
      <c r="H690" s="89">
        <v>0.27900000000000003</v>
      </c>
      <c r="I690" s="89">
        <v>6.0999999999999999E-2</v>
      </c>
      <c r="J690" s="89">
        <v>2.5999999999999999E-2</v>
      </c>
      <c r="K690" s="78">
        <f>((8/3)*L686)+((4/3)*L698)</f>
        <v>120303</v>
      </c>
      <c r="L690" s="96"/>
      <c r="M690" s="355">
        <f t="shared" si="84"/>
        <v>0.6</v>
      </c>
      <c r="N690" s="355">
        <v>0.26</v>
      </c>
      <c r="O690" s="355">
        <f t="shared" si="85"/>
        <v>0.61</v>
      </c>
      <c r="P690" s="355">
        <v>0.34620000000000001</v>
      </c>
      <c r="Q690" s="355">
        <v>0.69640000000000002</v>
      </c>
      <c r="R690" s="355">
        <v>0.6</v>
      </c>
      <c r="S690" s="355">
        <v>0.61</v>
      </c>
    </row>
    <row r="691" spans="1:19" s="80" customFormat="1">
      <c r="A691" s="79">
        <f t="shared" si="80"/>
        <v>58471</v>
      </c>
      <c r="B691" s="79">
        <f t="shared" si="79"/>
        <v>58836</v>
      </c>
      <c r="C691" s="88">
        <f t="shared" ref="C691:F706" si="86">AVERAGE(G691:G702)</f>
        <v>0.26</v>
      </c>
      <c r="D691" s="88">
        <f t="shared" si="86"/>
        <v>0.27900000000000003</v>
      </c>
      <c r="E691" s="88">
        <f t="shared" si="86"/>
        <v>6.0999999999999999E-2</v>
      </c>
      <c r="F691" s="88">
        <f t="shared" si="86"/>
        <v>2.5999999999999999E-2</v>
      </c>
      <c r="G691" s="89">
        <v>0.26</v>
      </c>
      <c r="H691" s="89">
        <v>0.27900000000000003</v>
      </c>
      <c r="I691" s="89">
        <v>6.0999999999999999E-2</v>
      </c>
      <c r="J691" s="89">
        <v>2.5999999999999999E-2</v>
      </c>
      <c r="K691" s="78">
        <f>((7/3)*L686)+((5/3)*L698)</f>
        <v>120796</v>
      </c>
      <c r="L691" s="96"/>
      <c r="M691" s="355">
        <f t="shared" si="84"/>
        <v>0.6</v>
      </c>
      <c r="N691" s="355">
        <v>0.26</v>
      </c>
      <c r="O691" s="355">
        <f t="shared" si="85"/>
        <v>0.61</v>
      </c>
      <c r="P691" s="355">
        <v>0.34620000000000001</v>
      </c>
      <c r="Q691" s="355">
        <v>0.69640000000000002</v>
      </c>
      <c r="R691" s="355">
        <v>0.6</v>
      </c>
      <c r="S691" s="355">
        <v>0.61</v>
      </c>
    </row>
    <row r="692" spans="1:19" s="80" customFormat="1">
      <c r="A692" s="79">
        <f t="shared" si="80"/>
        <v>58500</v>
      </c>
      <c r="B692" s="79">
        <f t="shared" si="79"/>
        <v>58864</v>
      </c>
      <c r="C692" s="88">
        <f t="shared" si="86"/>
        <v>0.26</v>
      </c>
      <c r="D692" s="88">
        <f t="shared" si="86"/>
        <v>0.27900000000000003</v>
      </c>
      <c r="E692" s="88">
        <f t="shared" si="86"/>
        <v>6.0999999999999999E-2</v>
      </c>
      <c r="F692" s="88">
        <f t="shared" si="86"/>
        <v>2.5999999999999999E-2</v>
      </c>
      <c r="G692" s="89">
        <v>0.26</v>
      </c>
      <c r="H692" s="89">
        <v>0.27900000000000003</v>
      </c>
      <c r="I692" s="89">
        <v>6.0999999999999999E-2</v>
      </c>
      <c r="J692" s="89">
        <v>2.5999999999999999E-2</v>
      </c>
      <c r="K692" s="78">
        <f>((6/3)*L686)+((6/3)*L698)</f>
        <v>121289</v>
      </c>
      <c r="L692" s="96"/>
      <c r="M692" s="355">
        <f t="shared" si="84"/>
        <v>0.6</v>
      </c>
      <c r="N692" s="355">
        <v>0.26</v>
      </c>
      <c r="O692" s="355">
        <f t="shared" si="85"/>
        <v>0.61</v>
      </c>
      <c r="P692" s="355">
        <v>0.34620000000000001</v>
      </c>
      <c r="Q692" s="355">
        <v>0.69640000000000002</v>
      </c>
      <c r="R692" s="355">
        <v>0.6</v>
      </c>
      <c r="S692" s="355">
        <v>0.61</v>
      </c>
    </row>
    <row r="693" spans="1:19" s="80" customFormat="1">
      <c r="A693" s="79">
        <f t="shared" si="80"/>
        <v>58531</v>
      </c>
      <c r="B693" s="79">
        <f t="shared" si="79"/>
        <v>58895</v>
      </c>
      <c r="C693" s="88">
        <f t="shared" si="86"/>
        <v>0.26</v>
      </c>
      <c r="D693" s="88">
        <f t="shared" si="86"/>
        <v>0.27900000000000003</v>
      </c>
      <c r="E693" s="88">
        <f t="shared" si="86"/>
        <v>6.0999999999999999E-2</v>
      </c>
      <c r="F693" s="88">
        <f t="shared" si="86"/>
        <v>2.5999999999999999E-2</v>
      </c>
      <c r="G693" s="89">
        <v>0.26</v>
      </c>
      <c r="H693" s="89">
        <v>0.27900000000000003</v>
      </c>
      <c r="I693" s="89">
        <v>6.0999999999999999E-2</v>
      </c>
      <c r="J693" s="89">
        <v>2.5999999999999999E-2</v>
      </c>
      <c r="K693" s="78">
        <f>((5/3)*L686)+((7/3)*L698)</f>
        <v>121782</v>
      </c>
      <c r="L693" s="96"/>
      <c r="M693" s="355">
        <f t="shared" si="84"/>
        <v>0.6</v>
      </c>
      <c r="N693" s="355">
        <v>0.26</v>
      </c>
      <c r="O693" s="355">
        <f t="shared" si="85"/>
        <v>0.61</v>
      </c>
      <c r="P693" s="355">
        <v>0.34620000000000001</v>
      </c>
      <c r="Q693" s="355">
        <v>0.69640000000000002</v>
      </c>
      <c r="R693" s="355">
        <v>0.6</v>
      </c>
      <c r="S693" s="355">
        <v>0.61</v>
      </c>
    </row>
    <row r="694" spans="1:19" s="80" customFormat="1">
      <c r="A694" s="79">
        <f t="shared" si="80"/>
        <v>58561</v>
      </c>
      <c r="B694" s="79">
        <f t="shared" si="79"/>
        <v>58925</v>
      </c>
      <c r="C694" s="88">
        <f t="shared" si="86"/>
        <v>0.26</v>
      </c>
      <c r="D694" s="88">
        <f t="shared" si="86"/>
        <v>0.27900000000000003</v>
      </c>
      <c r="E694" s="88">
        <f t="shared" si="86"/>
        <v>6.0999999999999999E-2</v>
      </c>
      <c r="F694" s="88">
        <f t="shared" si="86"/>
        <v>2.5999999999999999E-2</v>
      </c>
      <c r="G694" s="89">
        <v>0.26</v>
      </c>
      <c r="H694" s="89">
        <v>0.27900000000000003</v>
      </c>
      <c r="I694" s="89">
        <v>6.0999999999999999E-2</v>
      </c>
      <c r="J694" s="89">
        <v>2.5999999999999999E-2</v>
      </c>
      <c r="K694" s="78">
        <f>((4/3)*L686)+((8/3)*L698)</f>
        <v>122275</v>
      </c>
      <c r="L694" s="96"/>
      <c r="M694" s="355">
        <f t="shared" si="84"/>
        <v>0.6</v>
      </c>
      <c r="N694" s="355">
        <v>0.26</v>
      </c>
      <c r="O694" s="355">
        <f t="shared" si="85"/>
        <v>0.61</v>
      </c>
      <c r="P694" s="355">
        <v>0.34620000000000001</v>
      </c>
      <c r="Q694" s="355">
        <v>0.69640000000000002</v>
      </c>
      <c r="R694" s="355">
        <v>0.6</v>
      </c>
      <c r="S694" s="355">
        <v>0.61</v>
      </c>
    </row>
    <row r="695" spans="1:19" s="80" customFormat="1">
      <c r="A695" s="79">
        <f t="shared" si="80"/>
        <v>58592</v>
      </c>
      <c r="B695" s="79">
        <f t="shared" si="79"/>
        <v>58956</v>
      </c>
      <c r="C695" s="88">
        <f t="shared" si="86"/>
        <v>0.26</v>
      </c>
      <c r="D695" s="88">
        <f t="shared" si="86"/>
        <v>0.27900000000000003</v>
      </c>
      <c r="E695" s="88">
        <f t="shared" si="86"/>
        <v>6.0999999999999999E-2</v>
      </c>
      <c r="F695" s="88">
        <f t="shared" si="86"/>
        <v>2.5999999999999999E-2</v>
      </c>
      <c r="G695" s="89">
        <v>0.26</v>
      </c>
      <c r="H695" s="89">
        <v>0.27900000000000003</v>
      </c>
      <c r="I695" s="89">
        <v>6.0999999999999999E-2</v>
      </c>
      <c r="J695" s="89">
        <v>2.5999999999999999E-2</v>
      </c>
      <c r="K695" s="78">
        <f>((3/3)*L686)+((9/3)*L698)</f>
        <v>122768</v>
      </c>
      <c r="L695" s="96"/>
      <c r="M695" s="355">
        <f t="shared" si="84"/>
        <v>0.6</v>
      </c>
      <c r="N695" s="355">
        <v>0.26</v>
      </c>
      <c r="O695" s="355">
        <f t="shared" si="85"/>
        <v>0.61</v>
      </c>
      <c r="P695" s="355">
        <v>0.34620000000000001</v>
      </c>
      <c r="Q695" s="355">
        <v>0.69640000000000002</v>
      </c>
      <c r="R695" s="355">
        <v>0.6</v>
      </c>
      <c r="S695" s="355">
        <v>0.61</v>
      </c>
    </row>
    <row r="696" spans="1:19" s="80" customFormat="1">
      <c r="A696" s="79">
        <f t="shared" si="80"/>
        <v>58622</v>
      </c>
      <c r="B696" s="79">
        <f t="shared" si="79"/>
        <v>58986</v>
      </c>
      <c r="C696" s="88">
        <f t="shared" si="86"/>
        <v>0.26</v>
      </c>
      <c r="D696" s="88">
        <f t="shared" si="86"/>
        <v>0.27900000000000003</v>
      </c>
      <c r="E696" s="88">
        <f t="shared" si="86"/>
        <v>6.0999999999999999E-2</v>
      </c>
      <c r="F696" s="88">
        <f t="shared" si="86"/>
        <v>2.5999999999999999E-2</v>
      </c>
      <c r="G696" s="89">
        <v>0.26</v>
      </c>
      <c r="H696" s="89">
        <v>0.27900000000000003</v>
      </c>
      <c r="I696" s="89">
        <v>6.0999999999999999E-2</v>
      </c>
      <c r="J696" s="89">
        <v>2.5999999999999999E-2</v>
      </c>
      <c r="K696" s="78">
        <f>((2/3)*L686)+((10/3)*L698)</f>
        <v>123261</v>
      </c>
      <c r="L696" s="96"/>
      <c r="M696" s="355">
        <f t="shared" si="84"/>
        <v>0.6</v>
      </c>
      <c r="N696" s="355">
        <v>0.26</v>
      </c>
      <c r="O696" s="355">
        <f t="shared" si="85"/>
        <v>0.61</v>
      </c>
      <c r="P696" s="355">
        <v>0.34620000000000001</v>
      </c>
      <c r="Q696" s="355">
        <v>0.69640000000000002</v>
      </c>
      <c r="R696" s="355">
        <v>0.6</v>
      </c>
      <c r="S696" s="355">
        <v>0.61</v>
      </c>
    </row>
    <row r="697" spans="1:19" s="80" customFormat="1">
      <c r="A697" s="79">
        <f t="shared" si="80"/>
        <v>58653</v>
      </c>
      <c r="B697" s="79">
        <f t="shared" si="79"/>
        <v>59017</v>
      </c>
      <c r="C697" s="88">
        <f t="shared" si="86"/>
        <v>0.26</v>
      </c>
      <c r="D697" s="88">
        <f t="shared" si="86"/>
        <v>0.27900000000000003</v>
      </c>
      <c r="E697" s="88">
        <f t="shared" si="86"/>
        <v>6.0999999999999999E-2</v>
      </c>
      <c r="F697" s="88">
        <f t="shared" si="86"/>
        <v>2.5999999999999999E-2</v>
      </c>
      <c r="G697" s="89">
        <v>0.26</v>
      </c>
      <c r="H697" s="89">
        <v>0.27900000000000003</v>
      </c>
      <c r="I697" s="89">
        <v>6.0999999999999999E-2</v>
      </c>
      <c r="J697" s="89">
        <v>2.5999999999999999E-2</v>
      </c>
      <c r="K697" s="78">
        <f>((1/3)*L686)+((11/3)*L698)</f>
        <v>123754</v>
      </c>
      <c r="L697" s="96"/>
      <c r="M697" s="355">
        <f t="shared" si="84"/>
        <v>0.6</v>
      </c>
      <c r="N697" s="355">
        <v>0.26</v>
      </c>
      <c r="O697" s="355">
        <f t="shared" si="85"/>
        <v>0.61</v>
      </c>
      <c r="P697" s="355">
        <v>0.34620000000000001</v>
      </c>
      <c r="Q697" s="355">
        <v>0.69640000000000002</v>
      </c>
      <c r="R697" s="355">
        <v>0.6</v>
      </c>
      <c r="S697" s="355">
        <v>0.61</v>
      </c>
    </row>
    <row r="698" spans="1:19">
      <c r="A698" s="19">
        <f t="shared" si="80"/>
        <v>58684</v>
      </c>
      <c r="B698" s="19">
        <f t="shared" si="79"/>
        <v>59048</v>
      </c>
      <c r="C698" s="86">
        <f t="shared" si="86"/>
        <v>0.26</v>
      </c>
      <c r="D698" s="86">
        <f t="shared" si="86"/>
        <v>0.27900000000000003</v>
      </c>
      <c r="E698" s="86">
        <f t="shared" si="86"/>
        <v>6.0999999999999999E-2</v>
      </c>
      <c r="F698" s="86">
        <f t="shared" si="86"/>
        <v>2.5999999999999999E-2</v>
      </c>
      <c r="G698" s="87">
        <v>0.26</v>
      </c>
      <c r="H698" s="87">
        <v>0.27900000000000003</v>
      </c>
      <c r="I698" s="87">
        <v>6.0999999999999999E-2</v>
      </c>
      <c r="J698" s="87">
        <v>2.5999999999999999E-2</v>
      </c>
      <c r="K698" s="25">
        <f>(L698*4)</f>
        <v>124247</v>
      </c>
      <c r="L698" s="95">
        <f>L686*1.05</f>
        <v>31061.8</v>
      </c>
      <c r="M698" s="82">
        <f t="shared" si="84"/>
        <v>0.6</v>
      </c>
      <c r="N698" s="82">
        <v>0.26</v>
      </c>
      <c r="O698" s="82">
        <f t="shared" si="85"/>
        <v>0.61</v>
      </c>
      <c r="P698" s="82">
        <v>0.34620000000000001</v>
      </c>
      <c r="Q698" s="82">
        <v>0.69640000000000002</v>
      </c>
      <c r="R698" s="82">
        <v>0.6</v>
      </c>
      <c r="S698" s="82">
        <v>0.61</v>
      </c>
    </row>
    <row r="699" spans="1:19">
      <c r="A699" s="19">
        <f t="shared" si="80"/>
        <v>58714</v>
      </c>
      <c r="B699" s="19">
        <f t="shared" si="79"/>
        <v>59078</v>
      </c>
      <c r="C699" s="86">
        <f t="shared" si="86"/>
        <v>0.26</v>
      </c>
      <c r="D699" s="86">
        <f t="shared" si="86"/>
        <v>0.27900000000000003</v>
      </c>
      <c r="E699" s="86">
        <f t="shared" si="86"/>
        <v>6.0999999999999999E-2</v>
      </c>
      <c r="F699" s="86">
        <f t="shared" si="86"/>
        <v>2.5999999999999999E-2</v>
      </c>
      <c r="G699" s="87">
        <v>0.26</v>
      </c>
      <c r="H699" s="87">
        <v>0.27900000000000003</v>
      </c>
      <c r="I699" s="87">
        <v>6.0999999999999999E-2</v>
      </c>
      <c r="J699" s="87">
        <v>2.5999999999999999E-2</v>
      </c>
      <c r="K699" s="25">
        <f>((11/3)*L698)+((1/3)*L710)</f>
        <v>124765</v>
      </c>
      <c r="L699" s="95"/>
      <c r="M699" s="82">
        <f t="shared" si="84"/>
        <v>0.6</v>
      </c>
      <c r="N699" s="82">
        <v>0.26</v>
      </c>
      <c r="O699" s="82">
        <f t="shared" si="85"/>
        <v>0.61</v>
      </c>
      <c r="P699" s="82">
        <v>0.34620000000000001</v>
      </c>
      <c r="Q699" s="82">
        <v>0.69640000000000002</v>
      </c>
      <c r="R699" s="82">
        <v>0.6</v>
      </c>
      <c r="S699" s="82">
        <v>0.61</v>
      </c>
    </row>
    <row r="700" spans="1:19">
      <c r="A700" s="19">
        <f t="shared" si="80"/>
        <v>58745</v>
      </c>
      <c r="B700" s="19">
        <f t="shared" si="79"/>
        <v>59109</v>
      </c>
      <c r="C700" s="86">
        <f t="shared" si="86"/>
        <v>0.26</v>
      </c>
      <c r="D700" s="86">
        <f t="shared" si="86"/>
        <v>0.27900000000000003</v>
      </c>
      <c r="E700" s="86">
        <f t="shared" si="86"/>
        <v>6.0999999999999999E-2</v>
      </c>
      <c r="F700" s="86">
        <f t="shared" si="86"/>
        <v>2.5999999999999999E-2</v>
      </c>
      <c r="G700" s="87">
        <v>0.26</v>
      </c>
      <c r="H700" s="87">
        <v>0.27900000000000003</v>
      </c>
      <c r="I700" s="87">
        <v>6.0999999999999999E-2</v>
      </c>
      <c r="J700" s="87">
        <v>2.5999999999999999E-2</v>
      </c>
      <c r="K700" s="25">
        <f>((10/3)*L698)+((2/3)*L710)</f>
        <v>125283</v>
      </c>
      <c r="L700" s="95"/>
      <c r="M700" s="82">
        <f t="shared" si="84"/>
        <v>0.6</v>
      </c>
      <c r="N700" s="82">
        <v>0.26</v>
      </c>
      <c r="O700" s="82">
        <f t="shared" si="85"/>
        <v>0.61</v>
      </c>
      <c r="P700" s="82">
        <v>0.34620000000000001</v>
      </c>
      <c r="Q700" s="82">
        <v>0.69640000000000002</v>
      </c>
      <c r="R700" s="82">
        <v>0.6</v>
      </c>
      <c r="S700" s="82">
        <v>0.61</v>
      </c>
    </row>
    <row r="701" spans="1:19">
      <c r="A701" s="19">
        <f t="shared" si="80"/>
        <v>58775</v>
      </c>
      <c r="B701" s="19">
        <f t="shared" si="79"/>
        <v>59139</v>
      </c>
      <c r="C701" s="86">
        <f t="shared" si="86"/>
        <v>0.26</v>
      </c>
      <c r="D701" s="86">
        <f t="shared" si="86"/>
        <v>0.27900000000000003</v>
      </c>
      <c r="E701" s="86">
        <f t="shared" si="86"/>
        <v>6.0999999999999999E-2</v>
      </c>
      <c r="F701" s="86">
        <f t="shared" si="86"/>
        <v>2.5999999999999999E-2</v>
      </c>
      <c r="G701" s="87">
        <v>0.26</v>
      </c>
      <c r="H701" s="87">
        <v>0.27900000000000003</v>
      </c>
      <c r="I701" s="87">
        <v>6.0999999999999999E-2</v>
      </c>
      <c r="J701" s="87">
        <v>2.5999999999999999E-2</v>
      </c>
      <c r="K701" s="25">
        <f>((9/3)*L698)+((3/3)*L710)</f>
        <v>125800</v>
      </c>
      <c r="L701" s="95"/>
      <c r="M701" s="82">
        <f t="shared" si="84"/>
        <v>0.6</v>
      </c>
      <c r="N701" s="82">
        <v>0.26</v>
      </c>
      <c r="O701" s="82">
        <f t="shared" si="85"/>
        <v>0.61</v>
      </c>
      <c r="P701" s="82">
        <v>0.34620000000000001</v>
      </c>
      <c r="Q701" s="82">
        <v>0.69640000000000002</v>
      </c>
      <c r="R701" s="82">
        <v>0.6</v>
      </c>
      <c r="S701" s="82">
        <v>0.61</v>
      </c>
    </row>
    <row r="702" spans="1:19">
      <c r="A702" s="19">
        <f t="shared" si="80"/>
        <v>58806</v>
      </c>
      <c r="B702" s="19">
        <f t="shared" si="79"/>
        <v>59170</v>
      </c>
      <c r="C702" s="86">
        <f t="shared" si="86"/>
        <v>0.26</v>
      </c>
      <c r="D702" s="86">
        <f t="shared" si="86"/>
        <v>0.27900000000000003</v>
      </c>
      <c r="E702" s="86">
        <f t="shared" si="86"/>
        <v>6.0999999999999999E-2</v>
      </c>
      <c r="F702" s="86">
        <f t="shared" si="86"/>
        <v>2.5999999999999999E-2</v>
      </c>
      <c r="G702" s="87">
        <v>0.26</v>
      </c>
      <c r="H702" s="87">
        <v>0.27900000000000003</v>
      </c>
      <c r="I702" s="87">
        <v>6.0999999999999999E-2</v>
      </c>
      <c r="J702" s="87">
        <v>2.5999999999999999E-2</v>
      </c>
      <c r="K702" s="25">
        <f>((8/3)*L698)+((4/3)*L710)</f>
        <v>126318</v>
      </c>
      <c r="L702" s="95"/>
      <c r="M702" s="82">
        <f t="shared" si="84"/>
        <v>0.6</v>
      </c>
      <c r="N702" s="82">
        <v>0.26</v>
      </c>
      <c r="O702" s="82">
        <f t="shared" si="85"/>
        <v>0.61</v>
      </c>
      <c r="P702" s="82">
        <v>0.34620000000000001</v>
      </c>
      <c r="Q702" s="82">
        <v>0.69640000000000002</v>
      </c>
      <c r="R702" s="82">
        <v>0.6</v>
      </c>
      <c r="S702" s="82">
        <v>0.61</v>
      </c>
    </row>
    <row r="703" spans="1:19">
      <c r="A703" s="19">
        <f t="shared" si="80"/>
        <v>58837</v>
      </c>
      <c r="B703" s="19">
        <f t="shared" si="79"/>
        <v>59201</v>
      </c>
      <c r="C703" s="86">
        <f t="shared" si="86"/>
        <v>0.26</v>
      </c>
      <c r="D703" s="86">
        <f t="shared" si="86"/>
        <v>0.27900000000000003</v>
      </c>
      <c r="E703" s="86">
        <f t="shared" si="86"/>
        <v>6.0999999999999999E-2</v>
      </c>
      <c r="F703" s="86">
        <f t="shared" si="86"/>
        <v>2.5999999999999999E-2</v>
      </c>
      <c r="G703" s="87">
        <v>0.26</v>
      </c>
      <c r="H703" s="87">
        <v>0.27900000000000003</v>
      </c>
      <c r="I703" s="87">
        <v>6.0999999999999999E-2</v>
      </c>
      <c r="J703" s="87">
        <v>2.5999999999999999E-2</v>
      </c>
      <c r="K703" s="25">
        <f>((7/3)*L698)+((5/3)*L710)</f>
        <v>126836</v>
      </c>
      <c r="L703" s="95"/>
      <c r="M703" s="82">
        <f t="shared" si="84"/>
        <v>0.6</v>
      </c>
      <c r="N703" s="82">
        <v>0.26</v>
      </c>
      <c r="O703" s="82">
        <f t="shared" si="85"/>
        <v>0.61</v>
      </c>
      <c r="P703" s="82">
        <v>0.34620000000000001</v>
      </c>
      <c r="Q703" s="82">
        <v>0.69640000000000002</v>
      </c>
      <c r="R703" s="82">
        <v>0.6</v>
      </c>
      <c r="S703" s="82">
        <v>0.61</v>
      </c>
    </row>
    <row r="704" spans="1:19">
      <c r="A704" s="19">
        <f t="shared" si="80"/>
        <v>58865</v>
      </c>
      <c r="B704" s="19">
        <f t="shared" si="79"/>
        <v>59229</v>
      </c>
      <c r="C704" s="86">
        <f t="shared" si="86"/>
        <v>0.26</v>
      </c>
      <c r="D704" s="86">
        <f t="shared" si="86"/>
        <v>0.27900000000000003</v>
      </c>
      <c r="E704" s="86">
        <f t="shared" si="86"/>
        <v>6.0999999999999999E-2</v>
      </c>
      <c r="F704" s="86">
        <f t="shared" si="86"/>
        <v>2.5999999999999999E-2</v>
      </c>
      <c r="G704" s="87">
        <v>0.26</v>
      </c>
      <c r="H704" s="87">
        <v>0.27900000000000003</v>
      </c>
      <c r="I704" s="87">
        <v>6.0999999999999999E-2</v>
      </c>
      <c r="J704" s="87">
        <v>2.5999999999999999E-2</v>
      </c>
      <c r="K704" s="25">
        <f>((6/3)*L698)+((6/3)*L710)</f>
        <v>127353</v>
      </c>
      <c r="L704" s="95"/>
      <c r="M704" s="82">
        <f t="shared" si="84"/>
        <v>0.6</v>
      </c>
      <c r="N704" s="82">
        <v>0.26</v>
      </c>
      <c r="O704" s="82">
        <f t="shared" si="85"/>
        <v>0.61</v>
      </c>
      <c r="P704" s="82">
        <v>0.34620000000000001</v>
      </c>
      <c r="Q704" s="82">
        <v>0.69640000000000002</v>
      </c>
      <c r="R704" s="82">
        <v>0.6</v>
      </c>
      <c r="S704" s="82">
        <v>0.61</v>
      </c>
    </row>
    <row r="705" spans="1:19">
      <c r="A705" s="19">
        <f t="shared" si="80"/>
        <v>58896</v>
      </c>
      <c r="B705" s="19">
        <f t="shared" si="79"/>
        <v>59260</v>
      </c>
      <c r="C705" s="86">
        <f t="shared" si="86"/>
        <v>0.26</v>
      </c>
      <c r="D705" s="86">
        <f t="shared" si="86"/>
        <v>0.27900000000000003</v>
      </c>
      <c r="E705" s="86">
        <f t="shared" si="86"/>
        <v>6.0999999999999999E-2</v>
      </c>
      <c r="F705" s="86">
        <f t="shared" si="86"/>
        <v>2.5999999999999999E-2</v>
      </c>
      <c r="G705" s="87">
        <v>0.26</v>
      </c>
      <c r="H705" s="87">
        <v>0.27900000000000003</v>
      </c>
      <c r="I705" s="87">
        <v>6.0999999999999999E-2</v>
      </c>
      <c r="J705" s="87">
        <v>2.5999999999999999E-2</v>
      </c>
      <c r="K705" s="25">
        <f>((5/3)*L698)+((7/3)*L710)</f>
        <v>127871</v>
      </c>
      <c r="L705" s="95"/>
      <c r="M705" s="82">
        <f t="shared" si="84"/>
        <v>0.6</v>
      </c>
      <c r="N705" s="82">
        <v>0.26</v>
      </c>
      <c r="O705" s="82">
        <f t="shared" si="85"/>
        <v>0.61</v>
      </c>
      <c r="P705" s="82">
        <v>0.34620000000000001</v>
      </c>
      <c r="Q705" s="82">
        <v>0.69640000000000002</v>
      </c>
      <c r="R705" s="82">
        <v>0.6</v>
      </c>
      <c r="S705" s="82">
        <v>0.61</v>
      </c>
    </row>
    <row r="706" spans="1:19">
      <c r="A706" s="19">
        <f t="shared" si="80"/>
        <v>58926</v>
      </c>
      <c r="B706" s="19">
        <f t="shared" ref="B706:B769" si="87">EDATE(A706,12)-1</f>
        <v>59290</v>
      </c>
      <c r="C706" s="86">
        <f t="shared" si="86"/>
        <v>0.26</v>
      </c>
      <c r="D706" s="86">
        <f t="shared" si="86"/>
        <v>0.27900000000000003</v>
      </c>
      <c r="E706" s="86">
        <f t="shared" si="86"/>
        <v>6.0999999999999999E-2</v>
      </c>
      <c r="F706" s="86">
        <f t="shared" si="86"/>
        <v>2.5999999999999999E-2</v>
      </c>
      <c r="G706" s="87">
        <v>0.26</v>
      </c>
      <c r="H706" s="87">
        <v>0.27900000000000003</v>
      </c>
      <c r="I706" s="87">
        <v>6.0999999999999999E-2</v>
      </c>
      <c r="J706" s="87">
        <v>2.5999999999999999E-2</v>
      </c>
      <c r="K706" s="25">
        <f>((4/3)*L698)+((8/3)*L710)</f>
        <v>128389</v>
      </c>
      <c r="L706" s="95"/>
      <c r="M706" s="82">
        <f t="shared" si="84"/>
        <v>0.6</v>
      </c>
      <c r="N706" s="82">
        <v>0.26</v>
      </c>
      <c r="O706" s="82">
        <f t="shared" si="85"/>
        <v>0.61</v>
      </c>
      <c r="P706" s="82">
        <v>0.34620000000000001</v>
      </c>
      <c r="Q706" s="82">
        <v>0.69640000000000002</v>
      </c>
      <c r="R706" s="82">
        <v>0.6</v>
      </c>
      <c r="S706" s="82">
        <v>0.61</v>
      </c>
    </row>
    <row r="707" spans="1:19">
      <c r="A707" s="19">
        <f t="shared" ref="A707:A770" si="88">EDATE(A706,1)</f>
        <v>58957</v>
      </c>
      <c r="B707" s="19">
        <f t="shared" si="87"/>
        <v>59321</v>
      </c>
      <c r="C707" s="86">
        <f t="shared" ref="C707:F722" si="89">AVERAGE(G707:G718)</f>
        <v>0.26</v>
      </c>
      <c r="D707" s="86">
        <f t="shared" si="89"/>
        <v>0.27900000000000003</v>
      </c>
      <c r="E707" s="86">
        <f t="shared" si="89"/>
        <v>6.0999999999999999E-2</v>
      </c>
      <c r="F707" s="86">
        <f t="shared" si="89"/>
        <v>2.5999999999999999E-2</v>
      </c>
      <c r="G707" s="87">
        <v>0.26</v>
      </c>
      <c r="H707" s="87">
        <v>0.27900000000000003</v>
      </c>
      <c r="I707" s="87">
        <v>6.0999999999999999E-2</v>
      </c>
      <c r="J707" s="87">
        <v>2.5999999999999999E-2</v>
      </c>
      <c r="K707" s="25">
        <f>((3/3)*L698)+((9/3)*L710)</f>
        <v>128906</v>
      </c>
      <c r="L707" s="95"/>
      <c r="M707" s="82">
        <f t="shared" si="84"/>
        <v>0.6</v>
      </c>
      <c r="N707" s="82">
        <v>0.26</v>
      </c>
      <c r="O707" s="82">
        <f t="shared" si="85"/>
        <v>0.61</v>
      </c>
      <c r="P707" s="82">
        <v>0.34620000000000001</v>
      </c>
      <c r="Q707" s="82">
        <v>0.69640000000000002</v>
      </c>
      <c r="R707" s="82">
        <v>0.6</v>
      </c>
      <c r="S707" s="82">
        <v>0.61</v>
      </c>
    </row>
    <row r="708" spans="1:19">
      <c r="A708" s="19">
        <f t="shared" si="88"/>
        <v>58987</v>
      </c>
      <c r="B708" s="19">
        <f t="shared" si="87"/>
        <v>59351</v>
      </c>
      <c r="C708" s="86">
        <f t="shared" si="89"/>
        <v>0.26</v>
      </c>
      <c r="D708" s="86">
        <f t="shared" si="89"/>
        <v>0.27900000000000003</v>
      </c>
      <c r="E708" s="86">
        <f t="shared" si="89"/>
        <v>6.0999999999999999E-2</v>
      </c>
      <c r="F708" s="86">
        <f t="shared" si="89"/>
        <v>2.5999999999999999E-2</v>
      </c>
      <c r="G708" s="87">
        <v>0.26</v>
      </c>
      <c r="H708" s="87">
        <v>0.27900000000000003</v>
      </c>
      <c r="I708" s="87">
        <v>6.0999999999999999E-2</v>
      </c>
      <c r="J708" s="87">
        <v>2.5999999999999999E-2</v>
      </c>
      <c r="K708" s="25">
        <f>((2/3)*L698)+((10/3)*L710)</f>
        <v>129424</v>
      </c>
      <c r="L708" s="95"/>
      <c r="M708" s="82">
        <f t="shared" si="84"/>
        <v>0.6</v>
      </c>
      <c r="N708" s="82">
        <v>0.26</v>
      </c>
      <c r="O708" s="82">
        <f t="shared" si="85"/>
        <v>0.61</v>
      </c>
      <c r="P708" s="82">
        <v>0.34620000000000001</v>
      </c>
      <c r="Q708" s="82">
        <v>0.69640000000000002</v>
      </c>
      <c r="R708" s="82">
        <v>0.6</v>
      </c>
      <c r="S708" s="82">
        <v>0.61</v>
      </c>
    </row>
    <row r="709" spans="1:19">
      <c r="A709" s="19">
        <f t="shared" si="88"/>
        <v>59018</v>
      </c>
      <c r="B709" s="19">
        <f t="shared" si="87"/>
        <v>59382</v>
      </c>
      <c r="C709" s="83">
        <f t="shared" si="89"/>
        <v>0.26</v>
      </c>
      <c r="D709" s="83">
        <f t="shared" si="89"/>
        <v>0.27900000000000003</v>
      </c>
      <c r="E709" s="83">
        <f t="shared" si="89"/>
        <v>6.0999999999999999E-2</v>
      </c>
      <c r="F709" s="83">
        <f t="shared" si="89"/>
        <v>2.5999999999999999E-2</v>
      </c>
      <c r="G709" s="87">
        <v>0.26</v>
      </c>
      <c r="H709" s="87">
        <v>0.27900000000000003</v>
      </c>
      <c r="I709" s="87">
        <v>6.0999999999999999E-2</v>
      </c>
      <c r="J709" s="87">
        <v>2.5999999999999999E-2</v>
      </c>
      <c r="K709" s="25">
        <f>((1/3)*L698)+((11/3)*L710)</f>
        <v>129942</v>
      </c>
      <c r="L709" s="95"/>
      <c r="M709" s="82">
        <f t="shared" si="84"/>
        <v>0.6</v>
      </c>
      <c r="N709" s="82">
        <v>0.26</v>
      </c>
      <c r="O709" s="82">
        <f t="shared" si="85"/>
        <v>0.61</v>
      </c>
      <c r="P709" s="82">
        <v>0.34620000000000001</v>
      </c>
      <c r="Q709" s="82">
        <v>0.69640000000000002</v>
      </c>
      <c r="R709" s="82">
        <v>0.6</v>
      </c>
      <c r="S709" s="82">
        <v>0.61</v>
      </c>
    </row>
    <row r="710" spans="1:19" s="80" customFormat="1">
      <c r="A710" s="79">
        <f t="shared" si="88"/>
        <v>59049</v>
      </c>
      <c r="B710" s="79">
        <f t="shared" si="87"/>
        <v>59413</v>
      </c>
      <c r="C710" s="88">
        <f t="shared" si="89"/>
        <v>0.26</v>
      </c>
      <c r="D710" s="88">
        <f t="shared" si="89"/>
        <v>0.27900000000000003</v>
      </c>
      <c r="E710" s="88">
        <f t="shared" si="89"/>
        <v>6.0999999999999999E-2</v>
      </c>
      <c r="F710" s="88">
        <f t="shared" si="89"/>
        <v>2.5999999999999999E-2</v>
      </c>
      <c r="G710" s="89">
        <v>0.26</v>
      </c>
      <c r="H710" s="89">
        <v>0.27900000000000003</v>
      </c>
      <c r="I710" s="89">
        <v>6.0999999999999999E-2</v>
      </c>
      <c r="J710" s="89">
        <v>2.5999999999999999E-2</v>
      </c>
      <c r="K710" s="78">
        <f>(L710*4)</f>
        <v>130460</v>
      </c>
      <c r="L710" s="96">
        <f>L698*1.05</f>
        <v>32614.89</v>
      </c>
      <c r="M710" s="355">
        <f t="shared" si="84"/>
        <v>0.6</v>
      </c>
      <c r="N710" s="355">
        <v>0.26</v>
      </c>
      <c r="O710" s="355">
        <f t="shared" si="85"/>
        <v>0.61</v>
      </c>
      <c r="P710" s="355">
        <v>0.34620000000000001</v>
      </c>
      <c r="Q710" s="355">
        <v>0.69640000000000002</v>
      </c>
      <c r="R710" s="355">
        <v>0.6</v>
      </c>
      <c r="S710" s="355">
        <v>0.61</v>
      </c>
    </row>
    <row r="711" spans="1:19" s="80" customFormat="1">
      <c r="A711" s="79">
        <f t="shared" si="88"/>
        <v>59079</v>
      </c>
      <c r="B711" s="79">
        <f t="shared" si="87"/>
        <v>59443</v>
      </c>
      <c r="C711" s="88">
        <f t="shared" si="89"/>
        <v>0.26</v>
      </c>
      <c r="D711" s="88">
        <f t="shared" si="89"/>
        <v>0.27900000000000003</v>
      </c>
      <c r="E711" s="88">
        <f t="shared" si="89"/>
        <v>6.0999999999999999E-2</v>
      </c>
      <c r="F711" s="88">
        <f t="shared" si="89"/>
        <v>2.5999999999999999E-2</v>
      </c>
      <c r="G711" s="89">
        <v>0.26</v>
      </c>
      <c r="H711" s="89">
        <v>0.27900000000000003</v>
      </c>
      <c r="I711" s="89">
        <v>6.0999999999999999E-2</v>
      </c>
      <c r="J711" s="89">
        <v>2.5999999999999999E-2</v>
      </c>
      <c r="K711" s="78">
        <f>((11/3)*L710)+((1/3)*L722)</f>
        <v>131003</v>
      </c>
      <c r="L711" s="96"/>
      <c r="M711" s="355">
        <f t="shared" si="84"/>
        <v>0.6</v>
      </c>
      <c r="N711" s="355">
        <v>0.26</v>
      </c>
      <c r="O711" s="355">
        <f t="shared" si="85"/>
        <v>0.61</v>
      </c>
      <c r="P711" s="355">
        <v>0.34620000000000001</v>
      </c>
      <c r="Q711" s="355">
        <v>0.69640000000000002</v>
      </c>
      <c r="R711" s="355">
        <v>0.6</v>
      </c>
      <c r="S711" s="355">
        <v>0.61</v>
      </c>
    </row>
    <row r="712" spans="1:19" s="80" customFormat="1">
      <c r="A712" s="79">
        <f t="shared" si="88"/>
        <v>59110</v>
      </c>
      <c r="B712" s="79">
        <f t="shared" si="87"/>
        <v>59474</v>
      </c>
      <c r="C712" s="88">
        <f t="shared" si="89"/>
        <v>0.26</v>
      </c>
      <c r="D712" s="88">
        <f t="shared" si="89"/>
        <v>0.27900000000000003</v>
      </c>
      <c r="E712" s="88">
        <f t="shared" si="89"/>
        <v>6.0999999999999999E-2</v>
      </c>
      <c r="F712" s="88">
        <f t="shared" si="89"/>
        <v>2.5999999999999999E-2</v>
      </c>
      <c r="G712" s="89">
        <v>0.26</v>
      </c>
      <c r="H712" s="89">
        <v>0.27900000000000003</v>
      </c>
      <c r="I712" s="89">
        <v>6.0999999999999999E-2</v>
      </c>
      <c r="J712" s="89">
        <v>2.5999999999999999E-2</v>
      </c>
      <c r="K712" s="78">
        <f>((10/3)*L710)+((2/3)*L722)</f>
        <v>131547</v>
      </c>
      <c r="L712" s="96"/>
      <c r="M712" s="355">
        <f t="shared" si="84"/>
        <v>0.6</v>
      </c>
      <c r="N712" s="355">
        <v>0.26</v>
      </c>
      <c r="O712" s="355">
        <f t="shared" si="85"/>
        <v>0.61</v>
      </c>
      <c r="P712" s="355">
        <v>0.34620000000000001</v>
      </c>
      <c r="Q712" s="355">
        <v>0.69640000000000002</v>
      </c>
      <c r="R712" s="355">
        <v>0.6</v>
      </c>
      <c r="S712" s="355">
        <v>0.61</v>
      </c>
    </row>
    <row r="713" spans="1:19" s="80" customFormat="1">
      <c r="A713" s="79">
        <f t="shared" si="88"/>
        <v>59140</v>
      </c>
      <c r="B713" s="79">
        <f t="shared" si="87"/>
        <v>59504</v>
      </c>
      <c r="C713" s="88">
        <f t="shared" si="89"/>
        <v>0.26</v>
      </c>
      <c r="D713" s="88">
        <f t="shared" si="89"/>
        <v>0.27900000000000003</v>
      </c>
      <c r="E713" s="88">
        <f t="shared" si="89"/>
        <v>6.0999999999999999E-2</v>
      </c>
      <c r="F713" s="88">
        <f t="shared" si="89"/>
        <v>2.5999999999999999E-2</v>
      </c>
      <c r="G713" s="89">
        <v>0.26</v>
      </c>
      <c r="H713" s="89">
        <v>0.27900000000000003</v>
      </c>
      <c r="I713" s="89">
        <v>6.0999999999999999E-2</v>
      </c>
      <c r="J713" s="89">
        <v>2.5999999999999999E-2</v>
      </c>
      <c r="K713" s="78">
        <f>((9/3)*L710)+((3/3)*L722)</f>
        <v>132090</v>
      </c>
      <c r="L713" s="96"/>
      <c r="M713" s="355">
        <f t="shared" si="84"/>
        <v>0.6</v>
      </c>
      <c r="N713" s="355">
        <v>0.26</v>
      </c>
      <c r="O713" s="355">
        <f t="shared" si="85"/>
        <v>0.61</v>
      </c>
      <c r="P713" s="355">
        <v>0.34620000000000001</v>
      </c>
      <c r="Q713" s="355">
        <v>0.69640000000000002</v>
      </c>
      <c r="R713" s="355">
        <v>0.6</v>
      </c>
      <c r="S713" s="355">
        <v>0.61</v>
      </c>
    </row>
    <row r="714" spans="1:19" s="80" customFormat="1">
      <c r="A714" s="79">
        <f t="shared" si="88"/>
        <v>59171</v>
      </c>
      <c r="B714" s="79">
        <f t="shared" si="87"/>
        <v>59535</v>
      </c>
      <c r="C714" s="88">
        <f t="shared" si="89"/>
        <v>0.26</v>
      </c>
      <c r="D714" s="88">
        <f t="shared" si="89"/>
        <v>0.27900000000000003</v>
      </c>
      <c r="E714" s="88">
        <f t="shared" si="89"/>
        <v>6.0999999999999999E-2</v>
      </c>
      <c r="F714" s="88">
        <f t="shared" si="89"/>
        <v>2.5999999999999999E-2</v>
      </c>
      <c r="G714" s="89">
        <v>0.26</v>
      </c>
      <c r="H714" s="89">
        <v>0.27900000000000003</v>
      </c>
      <c r="I714" s="89">
        <v>6.0999999999999999E-2</v>
      </c>
      <c r="J714" s="89">
        <v>2.5999999999999999E-2</v>
      </c>
      <c r="K714" s="78">
        <f>((8/3)*L710)+((4/3)*L722)</f>
        <v>132634</v>
      </c>
      <c r="L714" s="96"/>
      <c r="M714" s="355">
        <f t="shared" si="84"/>
        <v>0.6</v>
      </c>
      <c r="N714" s="355">
        <v>0.26</v>
      </c>
      <c r="O714" s="355">
        <f t="shared" si="85"/>
        <v>0.61</v>
      </c>
      <c r="P714" s="355">
        <v>0.34620000000000001</v>
      </c>
      <c r="Q714" s="355">
        <v>0.69640000000000002</v>
      </c>
      <c r="R714" s="355">
        <v>0.6</v>
      </c>
      <c r="S714" s="355">
        <v>0.61</v>
      </c>
    </row>
    <row r="715" spans="1:19" s="80" customFormat="1">
      <c r="A715" s="79">
        <f t="shared" si="88"/>
        <v>59202</v>
      </c>
      <c r="B715" s="79">
        <f t="shared" si="87"/>
        <v>59566</v>
      </c>
      <c r="C715" s="88">
        <f t="shared" si="89"/>
        <v>0.26</v>
      </c>
      <c r="D715" s="88">
        <f t="shared" si="89"/>
        <v>0.27900000000000003</v>
      </c>
      <c r="E715" s="88">
        <f t="shared" si="89"/>
        <v>6.0999999999999999E-2</v>
      </c>
      <c r="F715" s="88">
        <f t="shared" si="89"/>
        <v>2.5999999999999999E-2</v>
      </c>
      <c r="G715" s="89">
        <v>0.26</v>
      </c>
      <c r="H715" s="89">
        <v>0.27900000000000003</v>
      </c>
      <c r="I715" s="89">
        <v>6.0999999999999999E-2</v>
      </c>
      <c r="J715" s="89">
        <v>2.5999999999999999E-2</v>
      </c>
      <c r="K715" s="78">
        <f>((7/3)*L710)+((5/3)*L722)</f>
        <v>133177</v>
      </c>
      <c r="L715" s="96"/>
      <c r="M715" s="355">
        <f t="shared" si="84"/>
        <v>0.6</v>
      </c>
      <c r="N715" s="355">
        <v>0.26</v>
      </c>
      <c r="O715" s="355">
        <f t="shared" si="85"/>
        <v>0.61</v>
      </c>
      <c r="P715" s="355">
        <v>0.34620000000000001</v>
      </c>
      <c r="Q715" s="355">
        <v>0.69640000000000002</v>
      </c>
      <c r="R715" s="355">
        <v>0.6</v>
      </c>
      <c r="S715" s="355">
        <v>0.61</v>
      </c>
    </row>
    <row r="716" spans="1:19" s="80" customFormat="1">
      <c r="A716" s="79">
        <f t="shared" si="88"/>
        <v>59230</v>
      </c>
      <c r="B716" s="79">
        <f t="shared" si="87"/>
        <v>59594</v>
      </c>
      <c r="C716" s="88">
        <f t="shared" si="89"/>
        <v>0.26</v>
      </c>
      <c r="D716" s="88">
        <f t="shared" si="89"/>
        <v>0.27900000000000003</v>
      </c>
      <c r="E716" s="88">
        <f t="shared" si="89"/>
        <v>6.0999999999999999E-2</v>
      </c>
      <c r="F716" s="88">
        <f t="shared" si="89"/>
        <v>2.5999999999999999E-2</v>
      </c>
      <c r="G716" s="89">
        <v>0.26</v>
      </c>
      <c r="H716" s="89">
        <v>0.27900000000000003</v>
      </c>
      <c r="I716" s="89">
        <v>6.0999999999999999E-2</v>
      </c>
      <c r="J716" s="89">
        <v>2.5999999999999999E-2</v>
      </c>
      <c r="K716" s="78">
        <f>((6/3)*L710)+((6/3)*L722)</f>
        <v>133721</v>
      </c>
      <c r="L716" s="96"/>
      <c r="M716" s="355">
        <f t="shared" si="84"/>
        <v>0.6</v>
      </c>
      <c r="N716" s="355">
        <v>0.26</v>
      </c>
      <c r="O716" s="355">
        <f t="shared" si="85"/>
        <v>0.61</v>
      </c>
      <c r="P716" s="355">
        <v>0.34620000000000001</v>
      </c>
      <c r="Q716" s="355">
        <v>0.69640000000000002</v>
      </c>
      <c r="R716" s="355">
        <v>0.6</v>
      </c>
      <c r="S716" s="355">
        <v>0.61</v>
      </c>
    </row>
    <row r="717" spans="1:19" s="80" customFormat="1">
      <c r="A717" s="79">
        <f t="shared" si="88"/>
        <v>59261</v>
      </c>
      <c r="B717" s="79">
        <f t="shared" si="87"/>
        <v>59625</v>
      </c>
      <c r="C717" s="88">
        <f t="shared" si="89"/>
        <v>0.26</v>
      </c>
      <c r="D717" s="88">
        <f t="shared" si="89"/>
        <v>0.27900000000000003</v>
      </c>
      <c r="E717" s="88">
        <f t="shared" si="89"/>
        <v>6.0999999999999999E-2</v>
      </c>
      <c r="F717" s="88">
        <f t="shared" si="89"/>
        <v>2.5999999999999999E-2</v>
      </c>
      <c r="G717" s="89">
        <v>0.26</v>
      </c>
      <c r="H717" s="89">
        <v>0.27900000000000003</v>
      </c>
      <c r="I717" s="89">
        <v>6.0999999999999999E-2</v>
      </c>
      <c r="J717" s="89">
        <v>2.5999999999999999E-2</v>
      </c>
      <c r="K717" s="78">
        <f>((5/3)*L710)+((7/3)*L722)</f>
        <v>134265</v>
      </c>
      <c r="L717" s="96"/>
      <c r="M717" s="355">
        <f t="shared" si="84"/>
        <v>0.6</v>
      </c>
      <c r="N717" s="355">
        <v>0.26</v>
      </c>
      <c r="O717" s="355">
        <f t="shared" si="85"/>
        <v>0.61</v>
      </c>
      <c r="P717" s="355">
        <v>0.34620000000000001</v>
      </c>
      <c r="Q717" s="355">
        <v>0.69640000000000002</v>
      </c>
      <c r="R717" s="355">
        <v>0.6</v>
      </c>
      <c r="S717" s="355">
        <v>0.61</v>
      </c>
    </row>
    <row r="718" spans="1:19" s="80" customFormat="1">
      <c r="A718" s="79">
        <f t="shared" si="88"/>
        <v>59291</v>
      </c>
      <c r="B718" s="79">
        <f t="shared" si="87"/>
        <v>59655</v>
      </c>
      <c r="C718" s="88">
        <f t="shared" si="89"/>
        <v>0.26</v>
      </c>
      <c r="D718" s="88">
        <f t="shared" si="89"/>
        <v>0.27900000000000003</v>
      </c>
      <c r="E718" s="88">
        <f t="shared" si="89"/>
        <v>6.0999999999999999E-2</v>
      </c>
      <c r="F718" s="88">
        <f t="shared" si="89"/>
        <v>2.5999999999999999E-2</v>
      </c>
      <c r="G718" s="89">
        <v>0.26</v>
      </c>
      <c r="H718" s="89">
        <v>0.27900000000000003</v>
      </c>
      <c r="I718" s="89">
        <v>6.0999999999999999E-2</v>
      </c>
      <c r="J718" s="89">
        <v>2.5999999999999999E-2</v>
      </c>
      <c r="K718" s="78">
        <f>((4/3)*L710)+((8/3)*L722)</f>
        <v>134808</v>
      </c>
      <c r="L718" s="96"/>
      <c r="M718" s="355">
        <f t="shared" si="84"/>
        <v>0.6</v>
      </c>
      <c r="N718" s="355">
        <v>0.26</v>
      </c>
      <c r="O718" s="355">
        <f t="shared" si="85"/>
        <v>0.61</v>
      </c>
      <c r="P718" s="355">
        <v>0.34620000000000001</v>
      </c>
      <c r="Q718" s="355">
        <v>0.69640000000000002</v>
      </c>
      <c r="R718" s="355">
        <v>0.6</v>
      </c>
      <c r="S718" s="355">
        <v>0.61</v>
      </c>
    </row>
    <row r="719" spans="1:19" s="80" customFormat="1">
      <c r="A719" s="79">
        <f t="shared" si="88"/>
        <v>59322</v>
      </c>
      <c r="B719" s="79">
        <f t="shared" si="87"/>
        <v>59686</v>
      </c>
      <c r="C719" s="88">
        <f t="shared" si="89"/>
        <v>0.26</v>
      </c>
      <c r="D719" s="88">
        <f t="shared" si="89"/>
        <v>0.27900000000000003</v>
      </c>
      <c r="E719" s="88">
        <f t="shared" si="89"/>
        <v>6.0999999999999999E-2</v>
      </c>
      <c r="F719" s="88">
        <f t="shared" si="89"/>
        <v>2.5999999999999999E-2</v>
      </c>
      <c r="G719" s="89">
        <v>0.26</v>
      </c>
      <c r="H719" s="89">
        <v>0.27900000000000003</v>
      </c>
      <c r="I719" s="89">
        <v>6.0999999999999999E-2</v>
      </c>
      <c r="J719" s="89">
        <v>2.5999999999999999E-2</v>
      </c>
      <c r="K719" s="78">
        <f>((3/3)*L710)+((9/3)*L722)</f>
        <v>135352</v>
      </c>
      <c r="L719" s="96"/>
      <c r="M719" s="355">
        <f t="shared" si="84"/>
        <v>0.6</v>
      </c>
      <c r="N719" s="355">
        <v>0.26</v>
      </c>
      <c r="O719" s="355">
        <f t="shared" si="85"/>
        <v>0.61</v>
      </c>
      <c r="P719" s="355">
        <v>0.34620000000000001</v>
      </c>
      <c r="Q719" s="355">
        <v>0.69640000000000002</v>
      </c>
      <c r="R719" s="355">
        <v>0.6</v>
      </c>
      <c r="S719" s="355">
        <v>0.61</v>
      </c>
    </row>
    <row r="720" spans="1:19" s="80" customFormat="1">
      <c r="A720" s="79">
        <f t="shared" si="88"/>
        <v>59352</v>
      </c>
      <c r="B720" s="79">
        <f t="shared" si="87"/>
        <v>59716</v>
      </c>
      <c r="C720" s="88">
        <f t="shared" si="89"/>
        <v>0.26</v>
      </c>
      <c r="D720" s="88">
        <f t="shared" si="89"/>
        <v>0.27900000000000003</v>
      </c>
      <c r="E720" s="88">
        <f t="shared" si="89"/>
        <v>6.0999999999999999E-2</v>
      </c>
      <c r="F720" s="88">
        <f t="shared" si="89"/>
        <v>2.5999999999999999E-2</v>
      </c>
      <c r="G720" s="89">
        <v>0.26</v>
      </c>
      <c r="H720" s="89">
        <v>0.27900000000000003</v>
      </c>
      <c r="I720" s="89">
        <v>6.0999999999999999E-2</v>
      </c>
      <c r="J720" s="89">
        <v>2.5999999999999999E-2</v>
      </c>
      <c r="K720" s="78">
        <f>((2/3)*L710)+((10/3)*L722)</f>
        <v>135895</v>
      </c>
      <c r="L720" s="96"/>
      <c r="M720" s="355">
        <f t="shared" si="84"/>
        <v>0.6</v>
      </c>
      <c r="N720" s="355">
        <v>0.26</v>
      </c>
      <c r="O720" s="355">
        <f t="shared" si="85"/>
        <v>0.61</v>
      </c>
      <c r="P720" s="355">
        <v>0.34620000000000001</v>
      </c>
      <c r="Q720" s="355">
        <v>0.69640000000000002</v>
      </c>
      <c r="R720" s="355">
        <v>0.6</v>
      </c>
      <c r="S720" s="355">
        <v>0.61</v>
      </c>
    </row>
    <row r="721" spans="1:19" s="80" customFormat="1">
      <c r="A721" s="79">
        <f t="shared" si="88"/>
        <v>59383</v>
      </c>
      <c r="B721" s="79">
        <f t="shared" si="87"/>
        <v>59747</v>
      </c>
      <c r="C721" s="88">
        <f t="shared" si="89"/>
        <v>0.26</v>
      </c>
      <c r="D721" s="88">
        <f t="shared" si="89"/>
        <v>0.27900000000000003</v>
      </c>
      <c r="E721" s="88">
        <f t="shared" si="89"/>
        <v>6.0999999999999999E-2</v>
      </c>
      <c r="F721" s="88">
        <f t="shared" si="89"/>
        <v>2.5999999999999999E-2</v>
      </c>
      <c r="G721" s="89">
        <v>0.26</v>
      </c>
      <c r="H721" s="89">
        <v>0.27900000000000003</v>
      </c>
      <c r="I721" s="89">
        <v>6.0999999999999999E-2</v>
      </c>
      <c r="J721" s="89">
        <v>2.5999999999999999E-2</v>
      </c>
      <c r="K721" s="78">
        <f>((1/3)*L710)+((11/3)*L722)</f>
        <v>136439</v>
      </c>
      <c r="L721" s="96"/>
      <c r="M721" s="355">
        <f t="shared" si="84"/>
        <v>0.6</v>
      </c>
      <c r="N721" s="355">
        <v>0.26</v>
      </c>
      <c r="O721" s="355">
        <f t="shared" si="85"/>
        <v>0.61</v>
      </c>
      <c r="P721" s="355">
        <v>0.34620000000000001</v>
      </c>
      <c r="Q721" s="355">
        <v>0.69640000000000002</v>
      </c>
      <c r="R721" s="355">
        <v>0.6</v>
      </c>
      <c r="S721" s="355">
        <v>0.61</v>
      </c>
    </row>
    <row r="722" spans="1:19">
      <c r="A722" s="19">
        <f t="shared" si="88"/>
        <v>59414</v>
      </c>
      <c r="B722" s="19">
        <f t="shared" si="87"/>
        <v>59778</v>
      </c>
      <c r="C722" s="86">
        <f t="shared" si="89"/>
        <v>0.26</v>
      </c>
      <c r="D722" s="86">
        <f t="shared" si="89"/>
        <v>0.27900000000000003</v>
      </c>
      <c r="E722" s="86">
        <f t="shared" si="89"/>
        <v>6.0999999999999999E-2</v>
      </c>
      <c r="F722" s="86">
        <f t="shared" si="89"/>
        <v>2.5999999999999999E-2</v>
      </c>
      <c r="G722" s="87">
        <v>0.26</v>
      </c>
      <c r="H722" s="87">
        <v>0.27900000000000003</v>
      </c>
      <c r="I722" s="87">
        <v>6.0999999999999999E-2</v>
      </c>
      <c r="J722" s="87">
        <v>2.5999999999999999E-2</v>
      </c>
      <c r="K722" s="25">
        <f>(L722*4)</f>
        <v>136983</v>
      </c>
      <c r="L722" s="95">
        <f>L710*1.05</f>
        <v>34245.629999999997</v>
      </c>
      <c r="M722" s="82">
        <f t="shared" si="84"/>
        <v>0.6</v>
      </c>
      <c r="N722" s="82">
        <v>0.26</v>
      </c>
      <c r="O722" s="82">
        <f t="shared" si="85"/>
        <v>0.61</v>
      </c>
      <c r="P722" s="82">
        <v>0.34620000000000001</v>
      </c>
      <c r="Q722" s="82">
        <v>0.69640000000000002</v>
      </c>
      <c r="R722" s="82">
        <v>0.6</v>
      </c>
      <c r="S722" s="82">
        <v>0.61</v>
      </c>
    </row>
    <row r="723" spans="1:19">
      <c r="A723" s="19">
        <f t="shared" si="88"/>
        <v>59444</v>
      </c>
      <c r="B723" s="19">
        <f t="shared" si="87"/>
        <v>59808</v>
      </c>
      <c r="C723" s="86">
        <f t="shared" ref="C723:F738" si="90">AVERAGE(G723:G734)</f>
        <v>0.26</v>
      </c>
      <c r="D723" s="86">
        <f t="shared" si="90"/>
        <v>0.27900000000000003</v>
      </c>
      <c r="E723" s="86">
        <f t="shared" si="90"/>
        <v>6.0999999999999999E-2</v>
      </c>
      <c r="F723" s="86">
        <f t="shared" si="90"/>
        <v>2.5999999999999999E-2</v>
      </c>
      <c r="G723" s="87">
        <v>0.26</v>
      </c>
      <c r="H723" s="87">
        <v>0.27900000000000003</v>
      </c>
      <c r="I723" s="87">
        <v>6.0999999999999999E-2</v>
      </c>
      <c r="J723" s="87">
        <v>2.5999999999999999E-2</v>
      </c>
      <c r="K723" s="25">
        <f>((11/3)*L722)+((1/3)*L734)</f>
        <v>137553</v>
      </c>
      <c r="L723" s="95"/>
      <c r="M723" s="82">
        <f t="shared" si="84"/>
        <v>0.6</v>
      </c>
      <c r="N723" s="82">
        <v>0.26</v>
      </c>
      <c r="O723" s="82">
        <f t="shared" si="85"/>
        <v>0.61</v>
      </c>
      <c r="P723" s="82">
        <v>0.34620000000000001</v>
      </c>
      <c r="Q723" s="82">
        <v>0.69640000000000002</v>
      </c>
      <c r="R723" s="82">
        <v>0.6</v>
      </c>
      <c r="S723" s="82">
        <v>0.61</v>
      </c>
    </row>
    <row r="724" spans="1:19">
      <c r="A724" s="19">
        <f t="shared" si="88"/>
        <v>59475</v>
      </c>
      <c r="B724" s="19">
        <f t="shared" si="87"/>
        <v>59839</v>
      </c>
      <c r="C724" s="86">
        <f t="shared" si="90"/>
        <v>0.26</v>
      </c>
      <c r="D724" s="86">
        <f t="shared" si="90"/>
        <v>0.27900000000000003</v>
      </c>
      <c r="E724" s="86">
        <f t="shared" si="90"/>
        <v>6.0999999999999999E-2</v>
      </c>
      <c r="F724" s="86">
        <f t="shared" si="90"/>
        <v>2.5999999999999999E-2</v>
      </c>
      <c r="G724" s="87">
        <v>0.26</v>
      </c>
      <c r="H724" s="87">
        <v>0.27900000000000003</v>
      </c>
      <c r="I724" s="87">
        <v>6.0999999999999999E-2</v>
      </c>
      <c r="J724" s="87">
        <v>2.5999999999999999E-2</v>
      </c>
      <c r="K724" s="25">
        <f>((10/3)*L722)+((2/3)*L734)</f>
        <v>138124</v>
      </c>
      <c r="L724" s="95"/>
      <c r="M724" s="82">
        <f t="shared" si="84"/>
        <v>0.6</v>
      </c>
      <c r="N724" s="82">
        <v>0.26</v>
      </c>
      <c r="O724" s="82">
        <f t="shared" si="85"/>
        <v>0.61</v>
      </c>
      <c r="P724" s="82">
        <v>0.34620000000000001</v>
      </c>
      <c r="Q724" s="82">
        <v>0.69640000000000002</v>
      </c>
      <c r="R724" s="82">
        <v>0.6</v>
      </c>
      <c r="S724" s="82">
        <v>0.61</v>
      </c>
    </row>
    <row r="725" spans="1:19">
      <c r="A725" s="19">
        <f t="shared" si="88"/>
        <v>59505</v>
      </c>
      <c r="B725" s="19">
        <f t="shared" si="87"/>
        <v>59869</v>
      </c>
      <c r="C725" s="86">
        <f t="shared" si="90"/>
        <v>0.26</v>
      </c>
      <c r="D725" s="86">
        <f t="shared" si="90"/>
        <v>0.27900000000000003</v>
      </c>
      <c r="E725" s="86">
        <f t="shared" si="90"/>
        <v>6.0999999999999999E-2</v>
      </c>
      <c r="F725" s="86">
        <f t="shared" si="90"/>
        <v>2.5999999999999999E-2</v>
      </c>
      <c r="G725" s="87">
        <v>0.26</v>
      </c>
      <c r="H725" s="87">
        <v>0.27900000000000003</v>
      </c>
      <c r="I725" s="87">
        <v>6.0999999999999999E-2</v>
      </c>
      <c r="J725" s="87">
        <v>2.5999999999999999E-2</v>
      </c>
      <c r="K725" s="25">
        <f>((9/3)*L722)+((3/3)*L734)</f>
        <v>138695</v>
      </c>
      <c r="L725" s="95"/>
      <c r="M725" s="82">
        <f t="shared" si="84"/>
        <v>0.6</v>
      </c>
      <c r="N725" s="82">
        <v>0.26</v>
      </c>
      <c r="O725" s="82">
        <f t="shared" si="85"/>
        <v>0.61</v>
      </c>
      <c r="P725" s="82">
        <v>0.34620000000000001</v>
      </c>
      <c r="Q725" s="82">
        <v>0.69640000000000002</v>
      </c>
      <c r="R725" s="82">
        <v>0.6</v>
      </c>
      <c r="S725" s="82">
        <v>0.61</v>
      </c>
    </row>
    <row r="726" spans="1:19">
      <c r="A726" s="19">
        <f t="shared" si="88"/>
        <v>59536</v>
      </c>
      <c r="B726" s="19">
        <f t="shared" si="87"/>
        <v>59900</v>
      </c>
      <c r="C726" s="86">
        <f t="shared" si="90"/>
        <v>0.26</v>
      </c>
      <c r="D726" s="86">
        <f t="shared" si="90"/>
        <v>0.27900000000000003</v>
      </c>
      <c r="E726" s="86">
        <f t="shared" si="90"/>
        <v>6.0999999999999999E-2</v>
      </c>
      <c r="F726" s="86">
        <f t="shared" si="90"/>
        <v>2.5999999999999999E-2</v>
      </c>
      <c r="G726" s="87">
        <v>0.26</v>
      </c>
      <c r="H726" s="87">
        <v>0.27900000000000003</v>
      </c>
      <c r="I726" s="87">
        <v>6.0999999999999999E-2</v>
      </c>
      <c r="J726" s="87">
        <v>2.5999999999999999E-2</v>
      </c>
      <c r="K726" s="25">
        <f>((8/3)*L722)+((4/3)*L734)</f>
        <v>139266</v>
      </c>
      <c r="L726" s="95"/>
      <c r="M726" s="82">
        <f t="shared" si="84"/>
        <v>0.6</v>
      </c>
      <c r="N726" s="82">
        <v>0.26</v>
      </c>
      <c r="O726" s="82">
        <f t="shared" si="85"/>
        <v>0.61</v>
      </c>
      <c r="P726" s="82">
        <v>0.34620000000000001</v>
      </c>
      <c r="Q726" s="82">
        <v>0.69640000000000002</v>
      </c>
      <c r="R726" s="82">
        <v>0.6</v>
      </c>
      <c r="S726" s="82">
        <v>0.61</v>
      </c>
    </row>
    <row r="727" spans="1:19">
      <c r="A727" s="19">
        <f t="shared" si="88"/>
        <v>59567</v>
      </c>
      <c r="B727" s="19">
        <f t="shared" si="87"/>
        <v>59931</v>
      </c>
      <c r="C727" s="86">
        <f t="shared" si="90"/>
        <v>0.26</v>
      </c>
      <c r="D727" s="86">
        <f t="shared" si="90"/>
        <v>0.27900000000000003</v>
      </c>
      <c r="E727" s="86">
        <f t="shared" si="90"/>
        <v>6.0999999999999999E-2</v>
      </c>
      <c r="F727" s="86">
        <f t="shared" si="90"/>
        <v>2.5999999999999999E-2</v>
      </c>
      <c r="G727" s="87">
        <v>0.26</v>
      </c>
      <c r="H727" s="87">
        <v>0.27900000000000003</v>
      </c>
      <c r="I727" s="87">
        <v>6.0999999999999999E-2</v>
      </c>
      <c r="J727" s="87">
        <v>2.5999999999999999E-2</v>
      </c>
      <c r="K727" s="25">
        <f>((7/3)*L722)+((5/3)*L734)</f>
        <v>139836</v>
      </c>
      <c r="L727" s="95"/>
      <c r="M727" s="82">
        <f t="shared" si="84"/>
        <v>0.6</v>
      </c>
      <c r="N727" s="82">
        <v>0.26</v>
      </c>
      <c r="O727" s="82">
        <f t="shared" si="85"/>
        <v>0.61</v>
      </c>
      <c r="P727" s="82">
        <v>0.34620000000000001</v>
      </c>
      <c r="Q727" s="82">
        <v>0.69640000000000002</v>
      </c>
      <c r="R727" s="82">
        <v>0.6</v>
      </c>
      <c r="S727" s="82">
        <v>0.61</v>
      </c>
    </row>
    <row r="728" spans="1:19">
      <c r="A728" s="19">
        <f t="shared" si="88"/>
        <v>59595</v>
      </c>
      <c r="B728" s="19">
        <f t="shared" si="87"/>
        <v>59960</v>
      </c>
      <c r="C728" s="86">
        <f t="shared" si="90"/>
        <v>0.26</v>
      </c>
      <c r="D728" s="86">
        <f t="shared" si="90"/>
        <v>0.27900000000000003</v>
      </c>
      <c r="E728" s="86">
        <f t="shared" si="90"/>
        <v>6.0999999999999999E-2</v>
      </c>
      <c r="F728" s="86">
        <f t="shared" si="90"/>
        <v>2.5999999999999999E-2</v>
      </c>
      <c r="G728" s="87">
        <v>0.26</v>
      </c>
      <c r="H728" s="87">
        <v>0.27900000000000003</v>
      </c>
      <c r="I728" s="87">
        <v>6.0999999999999999E-2</v>
      </c>
      <c r="J728" s="87">
        <v>2.5999999999999999E-2</v>
      </c>
      <c r="K728" s="25">
        <f>((6/3)*L722)+((6/3)*L734)</f>
        <v>140407</v>
      </c>
      <c r="L728" s="95"/>
      <c r="M728" s="82">
        <f t="shared" si="84"/>
        <v>0.6</v>
      </c>
      <c r="N728" s="82">
        <v>0.26</v>
      </c>
      <c r="O728" s="82">
        <f t="shared" si="85"/>
        <v>0.61</v>
      </c>
      <c r="P728" s="82">
        <v>0.34620000000000001</v>
      </c>
      <c r="Q728" s="82">
        <v>0.69640000000000002</v>
      </c>
      <c r="R728" s="82">
        <v>0.6</v>
      </c>
      <c r="S728" s="82">
        <v>0.61</v>
      </c>
    </row>
    <row r="729" spans="1:19">
      <c r="A729" s="19">
        <f t="shared" si="88"/>
        <v>59626</v>
      </c>
      <c r="B729" s="19">
        <f t="shared" si="87"/>
        <v>59991</v>
      </c>
      <c r="C729" s="86">
        <f t="shared" si="90"/>
        <v>0.26</v>
      </c>
      <c r="D729" s="86">
        <f t="shared" si="90"/>
        <v>0.27900000000000003</v>
      </c>
      <c r="E729" s="86">
        <f t="shared" si="90"/>
        <v>6.0999999999999999E-2</v>
      </c>
      <c r="F729" s="86">
        <f t="shared" si="90"/>
        <v>2.5999999999999999E-2</v>
      </c>
      <c r="G729" s="87">
        <v>0.26</v>
      </c>
      <c r="H729" s="87">
        <v>0.27900000000000003</v>
      </c>
      <c r="I729" s="87">
        <v>6.0999999999999999E-2</v>
      </c>
      <c r="J729" s="87">
        <v>2.5999999999999999E-2</v>
      </c>
      <c r="K729" s="25">
        <f>((5/3)*L722)+((7/3)*L734)</f>
        <v>140978</v>
      </c>
      <c r="L729" s="95"/>
      <c r="M729" s="82">
        <f t="shared" si="84"/>
        <v>0.6</v>
      </c>
      <c r="N729" s="82">
        <v>0.26</v>
      </c>
      <c r="O729" s="82">
        <f t="shared" si="85"/>
        <v>0.61</v>
      </c>
      <c r="P729" s="82">
        <v>0.34620000000000001</v>
      </c>
      <c r="Q729" s="82">
        <v>0.69640000000000002</v>
      </c>
      <c r="R729" s="82">
        <v>0.6</v>
      </c>
      <c r="S729" s="82">
        <v>0.61</v>
      </c>
    </row>
    <row r="730" spans="1:19">
      <c r="A730" s="19">
        <f t="shared" si="88"/>
        <v>59656</v>
      </c>
      <c r="B730" s="19">
        <f t="shared" si="87"/>
        <v>60021</v>
      </c>
      <c r="C730" s="86">
        <f t="shared" si="90"/>
        <v>0.26</v>
      </c>
      <c r="D730" s="86">
        <f t="shared" si="90"/>
        <v>0.27900000000000003</v>
      </c>
      <c r="E730" s="86">
        <f t="shared" si="90"/>
        <v>6.0999999999999999E-2</v>
      </c>
      <c r="F730" s="86">
        <f t="shared" si="90"/>
        <v>2.5999999999999999E-2</v>
      </c>
      <c r="G730" s="87">
        <v>0.26</v>
      </c>
      <c r="H730" s="87">
        <v>0.27900000000000003</v>
      </c>
      <c r="I730" s="87">
        <v>6.0999999999999999E-2</v>
      </c>
      <c r="J730" s="87">
        <v>2.5999999999999999E-2</v>
      </c>
      <c r="K730" s="25">
        <f>((4/3)*L722)+((8/3)*L734)</f>
        <v>141549</v>
      </c>
      <c r="L730" s="95"/>
      <c r="M730" s="82">
        <f t="shared" si="84"/>
        <v>0.6</v>
      </c>
      <c r="N730" s="82">
        <v>0.26</v>
      </c>
      <c r="O730" s="82">
        <f t="shared" si="85"/>
        <v>0.61</v>
      </c>
      <c r="P730" s="82">
        <v>0.34620000000000001</v>
      </c>
      <c r="Q730" s="82">
        <v>0.69640000000000002</v>
      </c>
      <c r="R730" s="82">
        <v>0.6</v>
      </c>
      <c r="S730" s="82">
        <v>0.61</v>
      </c>
    </row>
    <row r="731" spans="1:19">
      <c r="A731" s="19">
        <f t="shared" si="88"/>
        <v>59687</v>
      </c>
      <c r="B731" s="19">
        <f t="shared" si="87"/>
        <v>60052</v>
      </c>
      <c r="C731" s="86">
        <f t="shared" si="90"/>
        <v>0.26</v>
      </c>
      <c r="D731" s="86">
        <f t="shared" si="90"/>
        <v>0.27900000000000003</v>
      </c>
      <c r="E731" s="86">
        <f t="shared" si="90"/>
        <v>6.0999999999999999E-2</v>
      </c>
      <c r="F731" s="86">
        <f t="shared" si="90"/>
        <v>2.5999999999999999E-2</v>
      </c>
      <c r="G731" s="87">
        <v>0.26</v>
      </c>
      <c r="H731" s="87">
        <v>0.27900000000000003</v>
      </c>
      <c r="I731" s="87">
        <v>6.0999999999999999E-2</v>
      </c>
      <c r="J731" s="87">
        <v>2.5999999999999999E-2</v>
      </c>
      <c r="K731" s="25">
        <f>((3/3)*L722)+((9/3)*L734)</f>
        <v>142119</v>
      </c>
      <c r="L731" s="95"/>
      <c r="M731" s="82">
        <f t="shared" si="84"/>
        <v>0.6</v>
      </c>
      <c r="N731" s="82">
        <v>0.26</v>
      </c>
      <c r="O731" s="82">
        <f t="shared" si="85"/>
        <v>0.61</v>
      </c>
      <c r="P731" s="82">
        <v>0.34620000000000001</v>
      </c>
      <c r="Q731" s="82">
        <v>0.69640000000000002</v>
      </c>
      <c r="R731" s="82">
        <v>0.6</v>
      </c>
      <c r="S731" s="82">
        <v>0.61</v>
      </c>
    </row>
    <row r="732" spans="1:19">
      <c r="A732" s="19">
        <f t="shared" si="88"/>
        <v>59717</v>
      </c>
      <c r="B732" s="19">
        <f t="shared" si="87"/>
        <v>60082</v>
      </c>
      <c r="C732" s="86">
        <f t="shared" si="90"/>
        <v>0.26</v>
      </c>
      <c r="D732" s="86">
        <f t="shared" si="90"/>
        <v>0.27900000000000003</v>
      </c>
      <c r="E732" s="86">
        <f t="shared" si="90"/>
        <v>6.0999999999999999E-2</v>
      </c>
      <c r="F732" s="86">
        <f t="shared" si="90"/>
        <v>2.5999999999999999E-2</v>
      </c>
      <c r="G732" s="87">
        <v>0.26</v>
      </c>
      <c r="H732" s="87">
        <v>0.27900000000000003</v>
      </c>
      <c r="I732" s="87">
        <v>6.0999999999999999E-2</v>
      </c>
      <c r="J732" s="87">
        <v>2.5999999999999999E-2</v>
      </c>
      <c r="K732" s="25">
        <f>((2/3)*L722)+((10/3)*L734)</f>
        <v>142690</v>
      </c>
      <c r="L732" s="95"/>
      <c r="M732" s="82">
        <f t="shared" si="84"/>
        <v>0.6</v>
      </c>
      <c r="N732" s="82">
        <v>0.26</v>
      </c>
      <c r="O732" s="82">
        <f t="shared" si="85"/>
        <v>0.61</v>
      </c>
      <c r="P732" s="82">
        <v>0.34620000000000001</v>
      </c>
      <c r="Q732" s="82">
        <v>0.69640000000000002</v>
      </c>
      <c r="R732" s="82">
        <v>0.6</v>
      </c>
      <c r="S732" s="82">
        <v>0.61</v>
      </c>
    </row>
    <row r="733" spans="1:19">
      <c r="A733" s="19">
        <f t="shared" si="88"/>
        <v>59748</v>
      </c>
      <c r="B733" s="19">
        <f t="shared" si="87"/>
        <v>60113</v>
      </c>
      <c r="C733" s="83">
        <f t="shared" si="90"/>
        <v>0.26</v>
      </c>
      <c r="D733" s="83">
        <f t="shared" si="90"/>
        <v>0.27900000000000003</v>
      </c>
      <c r="E733" s="83">
        <f t="shared" si="90"/>
        <v>6.0999999999999999E-2</v>
      </c>
      <c r="F733" s="83">
        <f t="shared" si="90"/>
        <v>2.5999999999999999E-2</v>
      </c>
      <c r="G733" s="87">
        <v>0.26</v>
      </c>
      <c r="H733" s="87">
        <v>0.27900000000000003</v>
      </c>
      <c r="I733" s="87">
        <v>6.0999999999999999E-2</v>
      </c>
      <c r="J733" s="87">
        <v>2.5999999999999999E-2</v>
      </c>
      <c r="K733" s="25">
        <f>((1/3)*L722)+((11/3)*L734)</f>
        <v>143261</v>
      </c>
      <c r="L733" s="95"/>
      <c r="M733" s="82">
        <f t="shared" si="84"/>
        <v>0.6</v>
      </c>
      <c r="N733" s="82">
        <v>0.26</v>
      </c>
      <c r="O733" s="82">
        <f t="shared" si="85"/>
        <v>0.61</v>
      </c>
      <c r="P733" s="82">
        <v>0.34620000000000001</v>
      </c>
      <c r="Q733" s="82">
        <v>0.69640000000000002</v>
      </c>
      <c r="R733" s="82">
        <v>0.6</v>
      </c>
      <c r="S733" s="82">
        <v>0.61</v>
      </c>
    </row>
    <row r="734" spans="1:19" s="80" customFormat="1">
      <c r="A734" s="79">
        <f t="shared" si="88"/>
        <v>59779</v>
      </c>
      <c r="B734" s="79">
        <f t="shared" si="87"/>
        <v>60144</v>
      </c>
      <c r="C734" s="88">
        <f t="shared" si="90"/>
        <v>0.26</v>
      </c>
      <c r="D734" s="88">
        <f t="shared" si="90"/>
        <v>0.27900000000000003</v>
      </c>
      <c r="E734" s="88">
        <f t="shared" si="90"/>
        <v>6.0999999999999999E-2</v>
      </c>
      <c r="F734" s="88">
        <f t="shared" si="90"/>
        <v>2.5999999999999999E-2</v>
      </c>
      <c r="G734" s="89">
        <v>0.26</v>
      </c>
      <c r="H734" s="89">
        <v>0.27900000000000003</v>
      </c>
      <c r="I734" s="89">
        <v>6.0999999999999999E-2</v>
      </c>
      <c r="J734" s="89">
        <v>2.5999999999999999E-2</v>
      </c>
      <c r="K734" s="78">
        <f>(L734*4)</f>
        <v>143832</v>
      </c>
      <c r="L734" s="96">
        <f>L722*1.05</f>
        <v>35957.910000000003</v>
      </c>
      <c r="M734" s="355">
        <f t="shared" si="84"/>
        <v>0.6</v>
      </c>
      <c r="N734" s="355">
        <v>0.26</v>
      </c>
      <c r="O734" s="355">
        <f t="shared" si="85"/>
        <v>0.61</v>
      </c>
      <c r="P734" s="355">
        <v>0.34620000000000001</v>
      </c>
      <c r="Q734" s="355">
        <v>0.69640000000000002</v>
      </c>
      <c r="R734" s="355">
        <v>0.6</v>
      </c>
      <c r="S734" s="355">
        <v>0.61</v>
      </c>
    </row>
    <row r="735" spans="1:19" s="80" customFormat="1">
      <c r="A735" s="79">
        <f t="shared" si="88"/>
        <v>59809</v>
      </c>
      <c r="B735" s="79">
        <f t="shared" si="87"/>
        <v>60174</v>
      </c>
      <c r="C735" s="88">
        <f t="shared" si="90"/>
        <v>0.26</v>
      </c>
      <c r="D735" s="88">
        <f t="shared" si="90"/>
        <v>0.27900000000000003</v>
      </c>
      <c r="E735" s="88">
        <f t="shared" si="90"/>
        <v>6.0999999999999999E-2</v>
      </c>
      <c r="F735" s="88">
        <f t="shared" si="90"/>
        <v>2.5999999999999999E-2</v>
      </c>
      <c r="G735" s="89">
        <v>0.26</v>
      </c>
      <c r="H735" s="89">
        <v>0.27900000000000003</v>
      </c>
      <c r="I735" s="89">
        <v>6.0999999999999999E-2</v>
      </c>
      <c r="J735" s="89">
        <v>2.5999999999999999E-2</v>
      </c>
      <c r="K735" s="78">
        <f>((11/3)*L734)+((1/3)*L746)</f>
        <v>144431</v>
      </c>
      <c r="L735" s="96"/>
      <c r="M735" s="355">
        <f t="shared" si="84"/>
        <v>0.6</v>
      </c>
      <c r="N735" s="355">
        <v>0.26</v>
      </c>
      <c r="O735" s="355">
        <f t="shared" si="85"/>
        <v>0.61</v>
      </c>
      <c r="P735" s="355">
        <v>0.34620000000000001</v>
      </c>
      <c r="Q735" s="355">
        <v>0.69640000000000002</v>
      </c>
      <c r="R735" s="355">
        <v>0.6</v>
      </c>
      <c r="S735" s="355">
        <v>0.61</v>
      </c>
    </row>
    <row r="736" spans="1:19" s="80" customFormat="1">
      <c r="A736" s="79">
        <f t="shared" si="88"/>
        <v>59840</v>
      </c>
      <c r="B736" s="79">
        <f t="shared" si="87"/>
        <v>60205</v>
      </c>
      <c r="C736" s="88">
        <f t="shared" si="90"/>
        <v>0.26</v>
      </c>
      <c r="D736" s="88">
        <f t="shared" si="90"/>
        <v>0.27900000000000003</v>
      </c>
      <c r="E736" s="88">
        <f t="shared" si="90"/>
        <v>6.0999999999999999E-2</v>
      </c>
      <c r="F736" s="88">
        <f t="shared" si="90"/>
        <v>2.5999999999999999E-2</v>
      </c>
      <c r="G736" s="89">
        <v>0.26</v>
      </c>
      <c r="H736" s="89">
        <v>0.27900000000000003</v>
      </c>
      <c r="I736" s="89">
        <v>6.0999999999999999E-2</v>
      </c>
      <c r="J736" s="89">
        <v>2.5999999999999999E-2</v>
      </c>
      <c r="K736" s="78">
        <f>((10/3)*L734)+((2/3)*L746)</f>
        <v>145030</v>
      </c>
      <c r="L736" s="96"/>
      <c r="M736" s="355">
        <f t="shared" si="84"/>
        <v>0.6</v>
      </c>
      <c r="N736" s="355">
        <v>0.26</v>
      </c>
      <c r="O736" s="355">
        <f t="shared" si="85"/>
        <v>0.61</v>
      </c>
      <c r="P736" s="355">
        <v>0.34620000000000001</v>
      </c>
      <c r="Q736" s="355">
        <v>0.69640000000000002</v>
      </c>
      <c r="R736" s="355">
        <v>0.6</v>
      </c>
      <c r="S736" s="355">
        <v>0.61</v>
      </c>
    </row>
    <row r="737" spans="1:19" s="80" customFormat="1">
      <c r="A737" s="79">
        <f t="shared" si="88"/>
        <v>59870</v>
      </c>
      <c r="B737" s="79">
        <f t="shared" si="87"/>
        <v>60235</v>
      </c>
      <c r="C737" s="88">
        <f t="shared" si="90"/>
        <v>0.26</v>
      </c>
      <c r="D737" s="88">
        <f t="shared" si="90"/>
        <v>0.27900000000000003</v>
      </c>
      <c r="E737" s="88">
        <f t="shared" si="90"/>
        <v>6.0999999999999999E-2</v>
      </c>
      <c r="F737" s="88">
        <f t="shared" si="90"/>
        <v>2.5999999999999999E-2</v>
      </c>
      <c r="G737" s="89">
        <v>0.26</v>
      </c>
      <c r="H737" s="89">
        <v>0.27900000000000003</v>
      </c>
      <c r="I737" s="89">
        <v>6.0999999999999999E-2</v>
      </c>
      <c r="J737" s="89">
        <v>2.5999999999999999E-2</v>
      </c>
      <c r="K737" s="78">
        <f>((9/3)*L734)+((3/3)*L746)</f>
        <v>145630</v>
      </c>
      <c r="L737" s="96"/>
      <c r="M737" s="355">
        <f t="shared" si="84"/>
        <v>0.6</v>
      </c>
      <c r="N737" s="355">
        <v>0.26</v>
      </c>
      <c r="O737" s="355">
        <f t="shared" si="85"/>
        <v>0.61</v>
      </c>
      <c r="P737" s="355">
        <v>0.34620000000000001</v>
      </c>
      <c r="Q737" s="355">
        <v>0.69640000000000002</v>
      </c>
      <c r="R737" s="355">
        <v>0.6</v>
      </c>
      <c r="S737" s="355">
        <v>0.61</v>
      </c>
    </row>
    <row r="738" spans="1:19" s="80" customFormat="1">
      <c r="A738" s="79">
        <f t="shared" si="88"/>
        <v>59901</v>
      </c>
      <c r="B738" s="79">
        <f t="shared" si="87"/>
        <v>60266</v>
      </c>
      <c r="C738" s="88">
        <f t="shared" si="90"/>
        <v>0.26</v>
      </c>
      <c r="D738" s="88">
        <f t="shared" si="90"/>
        <v>0.27900000000000003</v>
      </c>
      <c r="E738" s="88">
        <f t="shared" si="90"/>
        <v>6.0999999999999999E-2</v>
      </c>
      <c r="F738" s="88">
        <f t="shared" si="90"/>
        <v>2.5999999999999999E-2</v>
      </c>
      <c r="G738" s="89">
        <v>0.26</v>
      </c>
      <c r="H738" s="89">
        <v>0.27900000000000003</v>
      </c>
      <c r="I738" s="89">
        <v>6.0999999999999999E-2</v>
      </c>
      <c r="J738" s="89">
        <v>2.5999999999999999E-2</v>
      </c>
      <c r="K738" s="78">
        <f>((8/3)*L734)+((4/3)*L746)</f>
        <v>146229</v>
      </c>
      <c r="L738" s="96"/>
      <c r="M738" s="355">
        <f t="shared" si="84"/>
        <v>0.6</v>
      </c>
      <c r="N738" s="355">
        <v>0.26</v>
      </c>
      <c r="O738" s="355">
        <f t="shared" si="85"/>
        <v>0.61</v>
      </c>
      <c r="P738" s="355">
        <v>0.34620000000000001</v>
      </c>
      <c r="Q738" s="355">
        <v>0.69640000000000002</v>
      </c>
      <c r="R738" s="355">
        <v>0.6</v>
      </c>
      <c r="S738" s="355">
        <v>0.61</v>
      </c>
    </row>
    <row r="739" spans="1:19" s="80" customFormat="1">
      <c r="A739" s="79">
        <f t="shared" si="88"/>
        <v>59932</v>
      </c>
      <c r="B739" s="79">
        <f t="shared" si="87"/>
        <v>60297</v>
      </c>
      <c r="C739" s="88">
        <f t="shared" ref="C739:F754" si="91">AVERAGE(G739:G750)</f>
        <v>0.26</v>
      </c>
      <c r="D739" s="88">
        <f t="shared" si="91"/>
        <v>0.27900000000000003</v>
      </c>
      <c r="E739" s="88">
        <f t="shared" si="91"/>
        <v>6.0999999999999999E-2</v>
      </c>
      <c r="F739" s="88">
        <f t="shared" si="91"/>
        <v>2.5999999999999999E-2</v>
      </c>
      <c r="G739" s="89">
        <v>0.26</v>
      </c>
      <c r="H739" s="89">
        <v>0.27900000000000003</v>
      </c>
      <c r="I739" s="89">
        <v>6.0999999999999999E-2</v>
      </c>
      <c r="J739" s="89">
        <v>2.5999999999999999E-2</v>
      </c>
      <c r="K739" s="78">
        <f>((7/3)*L734)+((5/3)*L746)</f>
        <v>146828</v>
      </c>
      <c r="L739" s="96"/>
      <c r="M739" s="355">
        <f t="shared" si="84"/>
        <v>0.6</v>
      </c>
      <c r="N739" s="355">
        <v>0.26</v>
      </c>
      <c r="O739" s="355">
        <f t="shared" si="85"/>
        <v>0.61</v>
      </c>
      <c r="P739" s="355">
        <v>0.34620000000000001</v>
      </c>
      <c r="Q739" s="355">
        <v>0.69640000000000002</v>
      </c>
      <c r="R739" s="355">
        <v>0.6</v>
      </c>
      <c r="S739" s="355">
        <v>0.61</v>
      </c>
    </row>
    <row r="740" spans="1:19" s="80" customFormat="1">
      <c r="A740" s="79">
        <f t="shared" si="88"/>
        <v>59961</v>
      </c>
      <c r="B740" s="79">
        <f t="shared" si="87"/>
        <v>60325</v>
      </c>
      <c r="C740" s="88">
        <f t="shared" si="91"/>
        <v>0.26</v>
      </c>
      <c r="D740" s="88">
        <f t="shared" si="91"/>
        <v>0.27900000000000003</v>
      </c>
      <c r="E740" s="88">
        <f t="shared" si="91"/>
        <v>6.0999999999999999E-2</v>
      </c>
      <c r="F740" s="88">
        <f t="shared" si="91"/>
        <v>2.5999999999999999E-2</v>
      </c>
      <c r="G740" s="89">
        <v>0.26</v>
      </c>
      <c r="H740" s="89">
        <v>0.27900000000000003</v>
      </c>
      <c r="I740" s="89">
        <v>6.0999999999999999E-2</v>
      </c>
      <c r="J740" s="89">
        <v>2.5999999999999999E-2</v>
      </c>
      <c r="K740" s="78">
        <f>((6/3)*L734)+((6/3)*L746)</f>
        <v>147427</v>
      </c>
      <c r="L740" s="96"/>
      <c r="M740" s="355">
        <f t="shared" si="84"/>
        <v>0.6</v>
      </c>
      <c r="N740" s="355">
        <v>0.26</v>
      </c>
      <c r="O740" s="355">
        <f t="shared" si="85"/>
        <v>0.61</v>
      </c>
      <c r="P740" s="355">
        <v>0.34620000000000001</v>
      </c>
      <c r="Q740" s="355">
        <v>0.69640000000000002</v>
      </c>
      <c r="R740" s="355">
        <v>0.6</v>
      </c>
      <c r="S740" s="355">
        <v>0.61</v>
      </c>
    </row>
    <row r="741" spans="1:19" s="80" customFormat="1">
      <c r="A741" s="79">
        <f t="shared" si="88"/>
        <v>59992</v>
      </c>
      <c r="B741" s="79">
        <f t="shared" si="87"/>
        <v>60356</v>
      </c>
      <c r="C741" s="88">
        <f t="shared" si="91"/>
        <v>0.26</v>
      </c>
      <c r="D741" s="88">
        <f t="shared" si="91"/>
        <v>0.27900000000000003</v>
      </c>
      <c r="E741" s="88">
        <f t="shared" si="91"/>
        <v>6.0999999999999999E-2</v>
      </c>
      <c r="F741" s="88">
        <f t="shared" si="91"/>
        <v>2.5999999999999999E-2</v>
      </c>
      <c r="G741" s="89">
        <v>0.26</v>
      </c>
      <c r="H741" s="89">
        <v>0.27900000000000003</v>
      </c>
      <c r="I741" s="89">
        <v>6.0999999999999999E-2</v>
      </c>
      <c r="J741" s="89">
        <v>2.5999999999999999E-2</v>
      </c>
      <c r="K741" s="78">
        <f>((5/3)*L734)+((7/3)*L746)</f>
        <v>148027</v>
      </c>
      <c r="L741" s="96"/>
      <c r="M741" s="355">
        <f t="shared" si="84"/>
        <v>0.6</v>
      </c>
      <c r="N741" s="355">
        <v>0.26</v>
      </c>
      <c r="O741" s="355">
        <f t="shared" si="85"/>
        <v>0.61</v>
      </c>
      <c r="P741" s="355">
        <v>0.34620000000000001</v>
      </c>
      <c r="Q741" s="355">
        <v>0.69640000000000002</v>
      </c>
      <c r="R741" s="355">
        <v>0.6</v>
      </c>
      <c r="S741" s="355">
        <v>0.61</v>
      </c>
    </row>
    <row r="742" spans="1:19" s="80" customFormat="1">
      <c r="A742" s="79">
        <f t="shared" si="88"/>
        <v>60022</v>
      </c>
      <c r="B742" s="79">
        <f t="shared" si="87"/>
        <v>60386</v>
      </c>
      <c r="C742" s="88">
        <f t="shared" si="91"/>
        <v>0.26</v>
      </c>
      <c r="D742" s="88">
        <f t="shared" si="91"/>
        <v>0.27900000000000003</v>
      </c>
      <c r="E742" s="88">
        <f t="shared" si="91"/>
        <v>6.0999999999999999E-2</v>
      </c>
      <c r="F742" s="88">
        <f t="shared" si="91"/>
        <v>2.5999999999999999E-2</v>
      </c>
      <c r="G742" s="89">
        <v>0.26</v>
      </c>
      <c r="H742" s="89">
        <v>0.27900000000000003</v>
      </c>
      <c r="I742" s="89">
        <v>6.0999999999999999E-2</v>
      </c>
      <c r="J742" s="89">
        <v>2.5999999999999999E-2</v>
      </c>
      <c r="K742" s="78">
        <f>((4/3)*L734)+((8/3)*L746)</f>
        <v>148626</v>
      </c>
      <c r="L742" s="96"/>
      <c r="M742" s="355">
        <f t="shared" si="84"/>
        <v>0.6</v>
      </c>
      <c r="N742" s="355">
        <v>0.26</v>
      </c>
      <c r="O742" s="355">
        <f t="shared" si="85"/>
        <v>0.61</v>
      </c>
      <c r="P742" s="355">
        <v>0.34620000000000001</v>
      </c>
      <c r="Q742" s="355">
        <v>0.69640000000000002</v>
      </c>
      <c r="R742" s="355">
        <v>0.6</v>
      </c>
      <c r="S742" s="355">
        <v>0.61</v>
      </c>
    </row>
    <row r="743" spans="1:19" s="80" customFormat="1">
      <c r="A743" s="79">
        <f t="shared" si="88"/>
        <v>60053</v>
      </c>
      <c r="B743" s="79">
        <f t="shared" si="87"/>
        <v>60417</v>
      </c>
      <c r="C743" s="88">
        <f t="shared" si="91"/>
        <v>0.26</v>
      </c>
      <c r="D743" s="88">
        <f t="shared" si="91"/>
        <v>0.27900000000000003</v>
      </c>
      <c r="E743" s="88">
        <f t="shared" si="91"/>
        <v>6.0999999999999999E-2</v>
      </c>
      <c r="F743" s="88">
        <f t="shared" si="91"/>
        <v>2.5999999999999999E-2</v>
      </c>
      <c r="G743" s="89">
        <v>0.26</v>
      </c>
      <c r="H743" s="89">
        <v>0.27900000000000003</v>
      </c>
      <c r="I743" s="89">
        <v>6.0999999999999999E-2</v>
      </c>
      <c r="J743" s="89">
        <v>2.5999999999999999E-2</v>
      </c>
      <c r="K743" s="78">
        <f>((3/3)*L734)+((9/3)*L746)</f>
        <v>149225</v>
      </c>
      <c r="L743" s="96"/>
      <c r="M743" s="355">
        <f t="shared" si="84"/>
        <v>0.6</v>
      </c>
      <c r="N743" s="355">
        <v>0.26</v>
      </c>
      <c r="O743" s="355">
        <f t="shared" si="85"/>
        <v>0.61</v>
      </c>
      <c r="P743" s="355">
        <v>0.34620000000000001</v>
      </c>
      <c r="Q743" s="355">
        <v>0.69640000000000002</v>
      </c>
      <c r="R743" s="355">
        <v>0.6</v>
      </c>
      <c r="S743" s="355">
        <v>0.61</v>
      </c>
    </row>
    <row r="744" spans="1:19" s="80" customFormat="1">
      <c r="A744" s="79">
        <f t="shared" si="88"/>
        <v>60083</v>
      </c>
      <c r="B744" s="79">
        <f t="shared" si="87"/>
        <v>60447</v>
      </c>
      <c r="C744" s="88">
        <f t="shared" si="91"/>
        <v>0.26</v>
      </c>
      <c r="D744" s="88">
        <f t="shared" si="91"/>
        <v>0.27900000000000003</v>
      </c>
      <c r="E744" s="88">
        <f t="shared" si="91"/>
        <v>6.0999999999999999E-2</v>
      </c>
      <c r="F744" s="88">
        <f t="shared" si="91"/>
        <v>2.5999999999999999E-2</v>
      </c>
      <c r="G744" s="89">
        <v>0.26</v>
      </c>
      <c r="H744" s="89">
        <v>0.27900000000000003</v>
      </c>
      <c r="I744" s="89">
        <v>6.0999999999999999E-2</v>
      </c>
      <c r="J744" s="89">
        <v>2.5999999999999999E-2</v>
      </c>
      <c r="K744" s="78">
        <f>((2/3)*L734)+((10/3)*L746)</f>
        <v>149825</v>
      </c>
      <c r="L744" s="96"/>
      <c r="M744" s="355">
        <f t="shared" si="84"/>
        <v>0.6</v>
      </c>
      <c r="N744" s="355">
        <v>0.26</v>
      </c>
      <c r="O744" s="355">
        <f t="shared" si="85"/>
        <v>0.61</v>
      </c>
      <c r="P744" s="355">
        <v>0.34620000000000001</v>
      </c>
      <c r="Q744" s="355">
        <v>0.69640000000000002</v>
      </c>
      <c r="R744" s="355">
        <v>0.6</v>
      </c>
      <c r="S744" s="355">
        <v>0.61</v>
      </c>
    </row>
    <row r="745" spans="1:19" s="80" customFormat="1">
      <c r="A745" s="79">
        <f t="shared" si="88"/>
        <v>60114</v>
      </c>
      <c r="B745" s="79">
        <f t="shared" si="87"/>
        <v>60478</v>
      </c>
      <c r="C745" s="88">
        <f t="shared" si="91"/>
        <v>0.26</v>
      </c>
      <c r="D745" s="88">
        <f t="shared" si="91"/>
        <v>0.27900000000000003</v>
      </c>
      <c r="E745" s="88">
        <f t="shared" si="91"/>
        <v>6.0999999999999999E-2</v>
      </c>
      <c r="F745" s="88">
        <f t="shared" si="91"/>
        <v>2.5999999999999999E-2</v>
      </c>
      <c r="G745" s="89">
        <v>0.26</v>
      </c>
      <c r="H745" s="89">
        <v>0.27900000000000003</v>
      </c>
      <c r="I745" s="89">
        <v>6.0999999999999999E-2</v>
      </c>
      <c r="J745" s="89">
        <v>2.5999999999999999E-2</v>
      </c>
      <c r="K745" s="78">
        <f>((1/3)*L734)+((11/3)*L746)</f>
        <v>150424</v>
      </c>
      <c r="L745" s="96"/>
      <c r="M745" s="355">
        <f t="shared" si="84"/>
        <v>0.6</v>
      </c>
      <c r="N745" s="355">
        <v>0.26</v>
      </c>
      <c r="O745" s="355">
        <f t="shared" si="85"/>
        <v>0.61</v>
      </c>
      <c r="P745" s="355">
        <v>0.34620000000000001</v>
      </c>
      <c r="Q745" s="355">
        <v>0.69640000000000002</v>
      </c>
      <c r="R745" s="355">
        <v>0.6</v>
      </c>
      <c r="S745" s="355">
        <v>0.61</v>
      </c>
    </row>
    <row r="746" spans="1:19">
      <c r="A746" s="19">
        <f t="shared" si="88"/>
        <v>60145</v>
      </c>
      <c r="B746" s="19">
        <f t="shared" si="87"/>
        <v>60509</v>
      </c>
      <c r="C746" s="86">
        <f t="shared" si="91"/>
        <v>0.26</v>
      </c>
      <c r="D746" s="86">
        <f t="shared" si="91"/>
        <v>0.27900000000000003</v>
      </c>
      <c r="E746" s="86">
        <f t="shared" si="91"/>
        <v>6.0999999999999999E-2</v>
      </c>
      <c r="F746" s="86">
        <f t="shared" si="91"/>
        <v>2.5999999999999999E-2</v>
      </c>
      <c r="G746" s="87">
        <v>0.26</v>
      </c>
      <c r="H746" s="87">
        <v>0.27900000000000003</v>
      </c>
      <c r="I746" s="87">
        <v>6.0999999999999999E-2</v>
      </c>
      <c r="J746" s="87">
        <v>2.5999999999999999E-2</v>
      </c>
      <c r="K746" s="25">
        <f>(L746*4)</f>
        <v>151023</v>
      </c>
      <c r="L746" s="95">
        <f>L734*1.05</f>
        <v>37755.81</v>
      </c>
      <c r="M746" s="82">
        <f t="shared" si="84"/>
        <v>0.6</v>
      </c>
      <c r="N746" s="82">
        <v>0.26</v>
      </c>
      <c r="O746" s="82">
        <f t="shared" si="85"/>
        <v>0.61</v>
      </c>
      <c r="P746" s="82">
        <v>0.34620000000000001</v>
      </c>
      <c r="Q746" s="82">
        <v>0.69640000000000002</v>
      </c>
      <c r="R746" s="82">
        <v>0.6</v>
      </c>
      <c r="S746" s="82">
        <v>0.61</v>
      </c>
    </row>
    <row r="747" spans="1:19">
      <c r="A747" s="19">
        <f t="shared" si="88"/>
        <v>60175</v>
      </c>
      <c r="B747" s="19">
        <f t="shared" si="87"/>
        <v>60539</v>
      </c>
      <c r="C747" s="86">
        <f t="shared" si="91"/>
        <v>0.26</v>
      </c>
      <c r="D747" s="86">
        <f t="shared" si="91"/>
        <v>0.27900000000000003</v>
      </c>
      <c r="E747" s="86">
        <f t="shared" si="91"/>
        <v>6.0999999999999999E-2</v>
      </c>
      <c r="F747" s="86">
        <f t="shared" si="91"/>
        <v>2.5999999999999999E-2</v>
      </c>
      <c r="G747" s="87">
        <v>0.26</v>
      </c>
      <c r="H747" s="87">
        <v>0.27900000000000003</v>
      </c>
      <c r="I747" s="87">
        <v>6.0999999999999999E-2</v>
      </c>
      <c r="J747" s="87">
        <v>2.5999999999999999E-2</v>
      </c>
      <c r="K747" s="25">
        <f>((11/3)*L746)+((1/3)*L758)</f>
        <v>151653</v>
      </c>
      <c r="L747" s="95"/>
      <c r="M747" s="82">
        <f t="shared" si="84"/>
        <v>0.6</v>
      </c>
      <c r="N747" s="82">
        <v>0.26</v>
      </c>
      <c r="O747" s="82">
        <f t="shared" si="85"/>
        <v>0.61</v>
      </c>
      <c r="P747" s="82">
        <v>0.34620000000000001</v>
      </c>
      <c r="Q747" s="82">
        <v>0.69640000000000002</v>
      </c>
      <c r="R747" s="82">
        <v>0.6</v>
      </c>
      <c r="S747" s="82">
        <v>0.61</v>
      </c>
    </row>
    <row r="748" spans="1:19">
      <c r="A748" s="19">
        <f t="shared" si="88"/>
        <v>60206</v>
      </c>
      <c r="B748" s="19">
        <f t="shared" si="87"/>
        <v>60570</v>
      </c>
      <c r="C748" s="86">
        <f t="shared" si="91"/>
        <v>0.26</v>
      </c>
      <c r="D748" s="86">
        <f t="shared" si="91"/>
        <v>0.27900000000000003</v>
      </c>
      <c r="E748" s="86">
        <f t="shared" si="91"/>
        <v>6.0999999999999999E-2</v>
      </c>
      <c r="F748" s="86">
        <f t="shared" si="91"/>
        <v>2.5999999999999999E-2</v>
      </c>
      <c r="G748" s="87">
        <v>0.26</v>
      </c>
      <c r="H748" s="87">
        <v>0.27900000000000003</v>
      </c>
      <c r="I748" s="87">
        <v>6.0999999999999999E-2</v>
      </c>
      <c r="J748" s="87">
        <v>2.5999999999999999E-2</v>
      </c>
      <c r="K748" s="25">
        <f>((10/3)*L746)+((2/3)*L758)</f>
        <v>152282</v>
      </c>
      <c r="L748" s="95"/>
      <c r="M748" s="82">
        <f t="shared" si="84"/>
        <v>0.6</v>
      </c>
      <c r="N748" s="82">
        <v>0.26</v>
      </c>
      <c r="O748" s="82">
        <f t="shared" si="85"/>
        <v>0.61</v>
      </c>
      <c r="P748" s="82">
        <v>0.34620000000000001</v>
      </c>
      <c r="Q748" s="82">
        <v>0.69640000000000002</v>
      </c>
      <c r="R748" s="82">
        <v>0.6</v>
      </c>
      <c r="S748" s="82">
        <v>0.61</v>
      </c>
    </row>
    <row r="749" spans="1:19">
      <c r="A749" s="19">
        <f t="shared" si="88"/>
        <v>60236</v>
      </c>
      <c r="B749" s="19">
        <f t="shared" si="87"/>
        <v>60600</v>
      </c>
      <c r="C749" s="86">
        <f t="shared" si="91"/>
        <v>0.26</v>
      </c>
      <c r="D749" s="86">
        <f t="shared" si="91"/>
        <v>0.27900000000000003</v>
      </c>
      <c r="E749" s="86">
        <f t="shared" si="91"/>
        <v>6.0999999999999999E-2</v>
      </c>
      <c r="F749" s="86">
        <f t="shared" si="91"/>
        <v>2.5999999999999999E-2</v>
      </c>
      <c r="G749" s="87">
        <v>0.26</v>
      </c>
      <c r="H749" s="87">
        <v>0.27900000000000003</v>
      </c>
      <c r="I749" s="87">
        <v>6.0999999999999999E-2</v>
      </c>
      <c r="J749" s="87">
        <v>2.5999999999999999E-2</v>
      </c>
      <c r="K749" s="25">
        <f>((9/3)*L746)+((3/3)*L758)</f>
        <v>152911</v>
      </c>
      <c r="L749" s="95"/>
      <c r="M749" s="82">
        <f t="shared" si="84"/>
        <v>0.6</v>
      </c>
      <c r="N749" s="82">
        <v>0.26</v>
      </c>
      <c r="O749" s="82">
        <f t="shared" si="85"/>
        <v>0.61</v>
      </c>
      <c r="P749" s="82">
        <v>0.34620000000000001</v>
      </c>
      <c r="Q749" s="82">
        <v>0.69640000000000002</v>
      </c>
      <c r="R749" s="82">
        <v>0.6</v>
      </c>
      <c r="S749" s="82">
        <v>0.61</v>
      </c>
    </row>
    <row r="750" spans="1:19">
      <c r="A750" s="19">
        <f t="shared" si="88"/>
        <v>60267</v>
      </c>
      <c r="B750" s="19">
        <f t="shared" si="87"/>
        <v>60631</v>
      </c>
      <c r="C750" s="86">
        <f t="shared" si="91"/>
        <v>0.26</v>
      </c>
      <c r="D750" s="86">
        <f t="shared" si="91"/>
        <v>0.27900000000000003</v>
      </c>
      <c r="E750" s="86">
        <f t="shared" si="91"/>
        <v>6.0999999999999999E-2</v>
      </c>
      <c r="F750" s="86">
        <f t="shared" si="91"/>
        <v>2.5999999999999999E-2</v>
      </c>
      <c r="G750" s="87">
        <v>0.26</v>
      </c>
      <c r="H750" s="87">
        <v>0.27900000000000003</v>
      </c>
      <c r="I750" s="87">
        <v>6.0999999999999999E-2</v>
      </c>
      <c r="J750" s="87">
        <v>2.5999999999999999E-2</v>
      </c>
      <c r="K750" s="25">
        <f>((8/3)*L746)+((4/3)*L758)</f>
        <v>153540</v>
      </c>
      <c r="L750" s="95"/>
      <c r="M750" s="82">
        <f t="shared" si="84"/>
        <v>0.6</v>
      </c>
      <c r="N750" s="82">
        <v>0.26</v>
      </c>
      <c r="O750" s="82">
        <f t="shared" si="85"/>
        <v>0.61</v>
      </c>
      <c r="P750" s="82">
        <v>0.34620000000000001</v>
      </c>
      <c r="Q750" s="82">
        <v>0.69640000000000002</v>
      </c>
      <c r="R750" s="82">
        <v>0.6</v>
      </c>
      <c r="S750" s="82">
        <v>0.61</v>
      </c>
    </row>
    <row r="751" spans="1:19">
      <c r="A751" s="19">
        <f t="shared" si="88"/>
        <v>60298</v>
      </c>
      <c r="B751" s="19">
        <f t="shared" si="87"/>
        <v>60662</v>
      </c>
      <c r="C751" s="86">
        <f t="shared" si="91"/>
        <v>0.26</v>
      </c>
      <c r="D751" s="86">
        <f t="shared" si="91"/>
        <v>0.27900000000000003</v>
      </c>
      <c r="E751" s="86">
        <f t="shared" si="91"/>
        <v>6.0999999999999999E-2</v>
      </c>
      <c r="F751" s="86">
        <f t="shared" si="91"/>
        <v>2.5999999999999999E-2</v>
      </c>
      <c r="G751" s="87">
        <v>0.26</v>
      </c>
      <c r="H751" s="87">
        <v>0.27900000000000003</v>
      </c>
      <c r="I751" s="87">
        <v>6.0999999999999999E-2</v>
      </c>
      <c r="J751" s="87">
        <v>2.5999999999999999E-2</v>
      </c>
      <c r="K751" s="25">
        <f>((7/3)*L746)+((5/3)*L758)</f>
        <v>154170</v>
      </c>
      <c r="L751" s="95"/>
      <c r="M751" s="82">
        <f t="shared" ref="M751:M805" si="92">AVERAGE(R751:R762)</f>
        <v>0.6</v>
      </c>
      <c r="N751" s="82">
        <v>0.26</v>
      </c>
      <c r="O751" s="82">
        <f t="shared" ref="O751:O805" si="93">AVERAGE(S751:S762)</f>
        <v>0.61</v>
      </c>
      <c r="P751" s="82">
        <v>0.34620000000000001</v>
      </c>
      <c r="Q751" s="82">
        <v>0.69640000000000002</v>
      </c>
      <c r="R751" s="82">
        <v>0.6</v>
      </c>
      <c r="S751" s="82">
        <v>0.61</v>
      </c>
    </row>
    <row r="752" spans="1:19">
      <c r="A752" s="19">
        <f t="shared" si="88"/>
        <v>60326</v>
      </c>
      <c r="B752" s="19">
        <f t="shared" si="87"/>
        <v>60690</v>
      </c>
      <c r="C752" s="86">
        <f t="shared" si="91"/>
        <v>0.26</v>
      </c>
      <c r="D752" s="86">
        <f t="shared" si="91"/>
        <v>0.27900000000000003</v>
      </c>
      <c r="E752" s="86">
        <f t="shared" si="91"/>
        <v>6.0999999999999999E-2</v>
      </c>
      <c r="F752" s="86">
        <f t="shared" si="91"/>
        <v>2.5999999999999999E-2</v>
      </c>
      <c r="G752" s="87">
        <v>0.26</v>
      </c>
      <c r="H752" s="87">
        <v>0.27900000000000003</v>
      </c>
      <c r="I752" s="87">
        <v>6.0999999999999999E-2</v>
      </c>
      <c r="J752" s="87">
        <v>2.5999999999999999E-2</v>
      </c>
      <c r="K752" s="25">
        <f>((6/3)*L746)+((6/3)*L758)</f>
        <v>154799</v>
      </c>
      <c r="L752" s="95"/>
      <c r="M752" s="82">
        <f t="shared" si="92"/>
        <v>0.6</v>
      </c>
      <c r="N752" s="82">
        <v>0.26</v>
      </c>
      <c r="O752" s="82">
        <f t="shared" si="93"/>
        <v>0.61</v>
      </c>
      <c r="P752" s="82">
        <v>0.34620000000000001</v>
      </c>
      <c r="Q752" s="82">
        <v>0.69640000000000002</v>
      </c>
      <c r="R752" s="82">
        <v>0.6</v>
      </c>
      <c r="S752" s="82">
        <v>0.61</v>
      </c>
    </row>
    <row r="753" spans="1:19">
      <c r="A753" s="19">
        <f t="shared" si="88"/>
        <v>60357</v>
      </c>
      <c r="B753" s="19">
        <f t="shared" si="87"/>
        <v>60721</v>
      </c>
      <c r="C753" s="86">
        <f t="shared" si="91"/>
        <v>0.26</v>
      </c>
      <c r="D753" s="86">
        <f t="shared" si="91"/>
        <v>0.27900000000000003</v>
      </c>
      <c r="E753" s="86">
        <f t="shared" si="91"/>
        <v>6.0999999999999999E-2</v>
      </c>
      <c r="F753" s="86">
        <f t="shared" si="91"/>
        <v>2.5999999999999999E-2</v>
      </c>
      <c r="G753" s="87">
        <v>0.26</v>
      </c>
      <c r="H753" s="87">
        <v>0.27900000000000003</v>
      </c>
      <c r="I753" s="87">
        <v>6.0999999999999999E-2</v>
      </c>
      <c r="J753" s="87">
        <v>2.5999999999999999E-2</v>
      </c>
      <c r="K753" s="25">
        <f>((5/3)*L746)+((7/3)*L758)</f>
        <v>155428</v>
      </c>
      <c r="L753" s="95"/>
      <c r="M753" s="82">
        <f t="shared" si="92"/>
        <v>0.6</v>
      </c>
      <c r="N753" s="82">
        <v>0.26</v>
      </c>
      <c r="O753" s="82">
        <f t="shared" si="93"/>
        <v>0.61</v>
      </c>
      <c r="P753" s="82">
        <v>0.34620000000000001</v>
      </c>
      <c r="Q753" s="82">
        <v>0.69640000000000002</v>
      </c>
      <c r="R753" s="82">
        <v>0.6</v>
      </c>
      <c r="S753" s="82">
        <v>0.61</v>
      </c>
    </row>
    <row r="754" spans="1:19">
      <c r="A754" s="19">
        <f t="shared" si="88"/>
        <v>60387</v>
      </c>
      <c r="B754" s="19">
        <f t="shared" si="87"/>
        <v>60751</v>
      </c>
      <c r="C754" s="86">
        <f t="shared" si="91"/>
        <v>0.26</v>
      </c>
      <c r="D754" s="86">
        <f t="shared" si="91"/>
        <v>0.27900000000000003</v>
      </c>
      <c r="E754" s="86">
        <f t="shared" si="91"/>
        <v>6.0999999999999999E-2</v>
      </c>
      <c r="F754" s="86">
        <f t="shared" si="91"/>
        <v>2.5999999999999999E-2</v>
      </c>
      <c r="G754" s="87">
        <v>0.26</v>
      </c>
      <c r="H754" s="87">
        <v>0.27900000000000003</v>
      </c>
      <c r="I754" s="87">
        <v>6.0999999999999999E-2</v>
      </c>
      <c r="J754" s="87">
        <v>2.5999999999999999E-2</v>
      </c>
      <c r="K754" s="25">
        <f>((4/3)*L746)+((8/3)*L758)</f>
        <v>156057</v>
      </c>
      <c r="L754" s="95"/>
      <c r="M754" s="82">
        <f t="shared" si="92"/>
        <v>0.6</v>
      </c>
      <c r="N754" s="82">
        <v>0.26</v>
      </c>
      <c r="O754" s="82">
        <f t="shared" si="93"/>
        <v>0.61</v>
      </c>
      <c r="P754" s="82">
        <v>0.34620000000000001</v>
      </c>
      <c r="Q754" s="82">
        <v>0.69640000000000002</v>
      </c>
      <c r="R754" s="82">
        <v>0.6</v>
      </c>
      <c r="S754" s="82">
        <v>0.61</v>
      </c>
    </row>
    <row r="755" spans="1:19">
      <c r="A755" s="19">
        <f t="shared" si="88"/>
        <v>60418</v>
      </c>
      <c r="B755" s="19">
        <f t="shared" si="87"/>
        <v>60782</v>
      </c>
      <c r="C755" s="86">
        <f t="shared" ref="C755:F770" si="94">AVERAGE(G755:G766)</f>
        <v>0.26</v>
      </c>
      <c r="D755" s="86">
        <f t="shared" si="94"/>
        <v>0.27900000000000003</v>
      </c>
      <c r="E755" s="86">
        <f t="shared" si="94"/>
        <v>6.0999999999999999E-2</v>
      </c>
      <c r="F755" s="86">
        <f t="shared" si="94"/>
        <v>2.5999999999999999E-2</v>
      </c>
      <c r="G755" s="87">
        <v>0.26</v>
      </c>
      <c r="H755" s="87">
        <v>0.27900000000000003</v>
      </c>
      <c r="I755" s="87">
        <v>6.0999999999999999E-2</v>
      </c>
      <c r="J755" s="87">
        <v>2.5999999999999999E-2</v>
      </c>
      <c r="K755" s="25">
        <f>((3/3)*L746)+((9/3)*L758)</f>
        <v>156687</v>
      </c>
      <c r="L755" s="95"/>
      <c r="M755" s="82">
        <f t="shared" si="92"/>
        <v>0.6</v>
      </c>
      <c r="N755" s="82">
        <v>0.26</v>
      </c>
      <c r="O755" s="82">
        <f t="shared" si="93"/>
        <v>0.61</v>
      </c>
      <c r="P755" s="82">
        <v>0.34620000000000001</v>
      </c>
      <c r="Q755" s="82">
        <v>0.69640000000000002</v>
      </c>
      <c r="R755" s="82">
        <v>0.6</v>
      </c>
      <c r="S755" s="82">
        <v>0.61</v>
      </c>
    </row>
    <row r="756" spans="1:19">
      <c r="A756" s="19">
        <f t="shared" si="88"/>
        <v>60448</v>
      </c>
      <c r="B756" s="19">
        <f t="shared" si="87"/>
        <v>60812</v>
      </c>
      <c r="C756" s="86">
        <f t="shared" si="94"/>
        <v>0.26</v>
      </c>
      <c r="D756" s="86">
        <f t="shared" si="94"/>
        <v>0.27900000000000003</v>
      </c>
      <c r="E756" s="86">
        <f t="shared" si="94"/>
        <v>6.0999999999999999E-2</v>
      </c>
      <c r="F756" s="86">
        <f t="shared" si="94"/>
        <v>2.5999999999999999E-2</v>
      </c>
      <c r="G756" s="87">
        <v>0.26</v>
      </c>
      <c r="H756" s="87">
        <v>0.27900000000000003</v>
      </c>
      <c r="I756" s="87">
        <v>6.0999999999999999E-2</v>
      </c>
      <c r="J756" s="87">
        <v>2.5999999999999999E-2</v>
      </c>
      <c r="K756" s="25">
        <f>((2/3)*L746)+((10/3)*L758)</f>
        <v>157316</v>
      </c>
      <c r="L756" s="95"/>
      <c r="M756" s="82">
        <f t="shared" si="92"/>
        <v>0.6</v>
      </c>
      <c r="N756" s="82">
        <v>0.26</v>
      </c>
      <c r="O756" s="82">
        <f t="shared" si="93"/>
        <v>0.61</v>
      </c>
      <c r="P756" s="82">
        <v>0.34620000000000001</v>
      </c>
      <c r="Q756" s="82">
        <v>0.69640000000000002</v>
      </c>
      <c r="R756" s="82">
        <v>0.6</v>
      </c>
      <c r="S756" s="82">
        <v>0.61</v>
      </c>
    </row>
    <row r="757" spans="1:19">
      <c r="A757" s="19">
        <f t="shared" si="88"/>
        <v>60479</v>
      </c>
      <c r="B757" s="19">
        <f t="shared" si="87"/>
        <v>60843</v>
      </c>
      <c r="C757" s="83">
        <f t="shared" si="94"/>
        <v>0.26</v>
      </c>
      <c r="D757" s="83">
        <f t="shared" si="94"/>
        <v>0.27900000000000003</v>
      </c>
      <c r="E757" s="83">
        <f t="shared" si="94"/>
        <v>6.0999999999999999E-2</v>
      </c>
      <c r="F757" s="83">
        <f t="shared" si="94"/>
        <v>2.5999999999999999E-2</v>
      </c>
      <c r="G757" s="87">
        <v>0.26</v>
      </c>
      <c r="H757" s="87">
        <v>0.27900000000000003</v>
      </c>
      <c r="I757" s="87">
        <v>6.0999999999999999E-2</v>
      </c>
      <c r="J757" s="87">
        <v>2.5999999999999999E-2</v>
      </c>
      <c r="K757" s="25">
        <f>((1/3)*L746)+((11/3)*L758)</f>
        <v>157945</v>
      </c>
      <c r="L757" s="95"/>
      <c r="M757" s="82">
        <f t="shared" si="92"/>
        <v>0.6</v>
      </c>
      <c r="N757" s="82">
        <v>0.26</v>
      </c>
      <c r="O757" s="82">
        <f t="shared" si="93"/>
        <v>0.61</v>
      </c>
      <c r="P757" s="82">
        <v>0.34620000000000001</v>
      </c>
      <c r="Q757" s="82">
        <v>0.69640000000000002</v>
      </c>
      <c r="R757" s="82">
        <v>0.6</v>
      </c>
      <c r="S757" s="82">
        <v>0.61</v>
      </c>
    </row>
    <row r="758" spans="1:19" s="80" customFormat="1">
      <c r="A758" s="79">
        <f t="shared" si="88"/>
        <v>60510</v>
      </c>
      <c r="B758" s="79">
        <f t="shared" si="87"/>
        <v>60874</v>
      </c>
      <c r="C758" s="88">
        <f t="shared" si="94"/>
        <v>0.26</v>
      </c>
      <c r="D758" s="88">
        <f t="shared" si="94"/>
        <v>0.27900000000000003</v>
      </c>
      <c r="E758" s="88">
        <f t="shared" si="94"/>
        <v>6.0999999999999999E-2</v>
      </c>
      <c r="F758" s="88">
        <f t="shared" si="94"/>
        <v>2.5999999999999999E-2</v>
      </c>
      <c r="G758" s="89">
        <v>0.26</v>
      </c>
      <c r="H758" s="89">
        <v>0.27900000000000003</v>
      </c>
      <c r="I758" s="89">
        <v>6.0999999999999999E-2</v>
      </c>
      <c r="J758" s="89">
        <v>2.5999999999999999E-2</v>
      </c>
      <c r="K758" s="78">
        <f>(L758*4)</f>
        <v>158574</v>
      </c>
      <c r="L758" s="96">
        <f>L746*1.05</f>
        <v>39643.599999999999</v>
      </c>
      <c r="M758" s="355">
        <f t="shared" si="92"/>
        <v>0.6</v>
      </c>
      <c r="N758" s="355">
        <v>0.26</v>
      </c>
      <c r="O758" s="355">
        <f t="shared" si="93"/>
        <v>0.61</v>
      </c>
      <c r="P758" s="355">
        <v>0.34620000000000001</v>
      </c>
      <c r="Q758" s="355">
        <v>0.69640000000000002</v>
      </c>
      <c r="R758" s="355">
        <v>0.6</v>
      </c>
      <c r="S758" s="355">
        <v>0.61</v>
      </c>
    </row>
    <row r="759" spans="1:19" s="80" customFormat="1">
      <c r="A759" s="79">
        <f t="shared" si="88"/>
        <v>60540</v>
      </c>
      <c r="B759" s="79">
        <f t="shared" si="87"/>
        <v>60904</v>
      </c>
      <c r="C759" s="88">
        <f t="shared" si="94"/>
        <v>0.26</v>
      </c>
      <c r="D759" s="88">
        <f t="shared" si="94"/>
        <v>0.27900000000000003</v>
      </c>
      <c r="E759" s="88">
        <f t="shared" si="94"/>
        <v>6.0999999999999999E-2</v>
      </c>
      <c r="F759" s="88">
        <f t="shared" si="94"/>
        <v>2.5999999999999999E-2</v>
      </c>
      <c r="G759" s="89">
        <v>0.26</v>
      </c>
      <c r="H759" s="89">
        <v>0.27900000000000003</v>
      </c>
      <c r="I759" s="89">
        <v>6.0999999999999999E-2</v>
      </c>
      <c r="J759" s="89">
        <v>2.5999999999999999E-2</v>
      </c>
      <c r="K759" s="78">
        <f>((11/3)*L758)+((1/3)*L770)</f>
        <v>159235</v>
      </c>
      <c r="L759" s="96"/>
      <c r="M759" s="355">
        <f t="shared" si="92"/>
        <v>0.6</v>
      </c>
      <c r="N759" s="355">
        <v>0.26</v>
      </c>
      <c r="O759" s="355">
        <f t="shared" si="93"/>
        <v>0.61</v>
      </c>
      <c r="P759" s="355">
        <v>0.34620000000000001</v>
      </c>
      <c r="Q759" s="355">
        <v>0.69640000000000002</v>
      </c>
      <c r="R759" s="355">
        <v>0.6</v>
      </c>
      <c r="S759" s="355">
        <v>0.61</v>
      </c>
    </row>
    <row r="760" spans="1:19" s="80" customFormat="1">
      <c r="A760" s="79">
        <f t="shared" si="88"/>
        <v>60571</v>
      </c>
      <c r="B760" s="79">
        <f t="shared" si="87"/>
        <v>60935</v>
      </c>
      <c r="C760" s="88">
        <f t="shared" si="94"/>
        <v>0.26</v>
      </c>
      <c r="D760" s="88">
        <f t="shared" si="94"/>
        <v>0.27900000000000003</v>
      </c>
      <c r="E760" s="88">
        <f t="shared" si="94"/>
        <v>6.0999999999999999E-2</v>
      </c>
      <c r="F760" s="88">
        <f t="shared" si="94"/>
        <v>2.5999999999999999E-2</v>
      </c>
      <c r="G760" s="89">
        <v>0.26</v>
      </c>
      <c r="H760" s="89">
        <v>0.27900000000000003</v>
      </c>
      <c r="I760" s="89">
        <v>6.0999999999999999E-2</v>
      </c>
      <c r="J760" s="89">
        <v>2.5999999999999999E-2</v>
      </c>
      <c r="K760" s="78">
        <f>((10/3)*L758)+((2/3)*L770)</f>
        <v>159896</v>
      </c>
      <c r="L760" s="96"/>
      <c r="M760" s="355">
        <f t="shared" si="92"/>
        <v>0.6</v>
      </c>
      <c r="N760" s="355">
        <v>0.26</v>
      </c>
      <c r="O760" s="355">
        <f t="shared" si="93"/>
        <v>0.61</v>
      </c>
      <c r="P760" s="355">
        <v>0.34620000000000001</v>
      </c>
      <c r="Q760" s="355">
        <v>0.69640000000000002</v>
      </c>
      <c r="R760" s="355">
        <v>0.6</v>
      </c>
      <c r="S760" s="355">
        <v>0.61</v>
      </c>
    </row>
    <row r="761" spans="1:19" s="80" customFormat="1">
      <c r="A761" s="79">
        <f t="shared" si="88"/>
        <v>60601</v>
      </c>
      <c r="B761" s="79">
        <f t="shared" si="87"/>
        <v>60965</v>
      </c>
      <c r="C761" s="88">
        <f t="shared" si="94"/>
        <v>0.26</v>
      </c>
      <c r="D761" s="88">
        <f t="shared" si="94"/>
        <v>0.27900000000000003</v>
      </c>
      <c r="E761" s="88">
        <f t="shared" si="94"/>
        <v>6.0999999999999999E-2</v>
      </c>
      <c r="F761" s="88">
        <f t="shared" si="94"/>
        <v>2.5999999999999999E-2</v>
      </c>
      <c r="G761" s="89">
        <v>0.26</v>
      </c>
      <c r="H761" s="89">
        <v>0.27900000000000003</v>
      </c>
      <c r="I761" s="89">
        <v>6.0999999999999999E-2</v>
      </c>
      <c r="J761" s="89">
        <v>2.5999999999999999E-2</v>
      </c>
      <c r="K761" s="78">
        <f>((9/3)*L758)+((3/3)*L770)</f>
        <v>160557</v>
      </c>
      <c r="L761" s="96"/>
      <c r="M761" s="355">
        <f t="shared" si="92"/>
        <v>0.6</v>
      </c>
      <c r="N761" s="355">
        <v>0.26</v>
      </c>
      <c r="O761" s="355">
        <f t="shared" si="93"/>
        <v>0.61</v>
      </c>
      <c r="P761" s="355">
        <v>0.34620000000000001</v>
      </c>
      <c r="Q761" s="355">
        <v>0.69640000000000002</v>
      </c>
      <c r="R761" s="355">
        <v>0.6</v>
      </c>
      <c r="S761" s="355">
        <v>0.61</v>
      </c>
    </row>
    <row r="762" spans="1:19" s="80" customFormat="1">
      <c r="A762" s="79">
        <f t="shared" si="88"/>
        <v>60632</v>
      </c>
      <c r="B762" s="79">
        <f t="shared" si="87"/>
        <v>60996</v>
      </c>
      <c r="C762" s="88">
        <f t="shared" si="94"/>
        <v>0.26</v>
      </c>
      <c r="D762" s="88">
        <f t="shared" si="94"/>
        <v>0.27900000000000003</v>
      </c>
      <c r="E762" s="88">
        <f t="shared" si="94"/>
        <v>6.0999999999999999E-2</v>
      </c>
      <c r="F762" s="88">
        <f t="shared" si="94"/>
        <v>2.5999999999999999E-2</v>
      </c>
      <c r="G762" s="89">
        <v>0.26</v>
      </c>
      <c r="H762" s="89">
        <v>0.27900000000000003</v>
      </c>
      <c r="I762" s="89">
        <v>6.0999999999999999E-2</v>
      </c>
      <c r="J762" s="89">
        <v>2.5999999999999999E-2</v>
      </c>
      <c r="K762" s="78">
        <f>((8/3)*L758)+((4/3)*L770)</f>
        <v>161217</v>
      </c>
      <c r="L762" s="96"/>
      <c r="M762" s="355">
        <f t="shared" si="92"/>
        <v>0.6</v>
      </c>
      <c r="N762" s="355">
        <v>0.26</v>
      </c>
      <c r="O762" s="355">
        <f t="shared" si="93"/>
        <v>0.61</v>
      </c>
      <c r="P762" s="355">
        <v>0.34620000000000001</v>
      </c>
      <c r="Q762" s="355">
        <v>0.69640000000000002</v>
      </c>
      <c r="R762" s="355">
        <v>0.6</v>
      </c>
      <c r="S762" s="355">
        <v>0.61</v>
      </c>
    </row>
    <row r="763" spans="1:19" s="80" customFormat="1">
      <c r="A763" s="79">
        <f t="shared" si="88"/>
        <v>60663</v>
      </c>
      <c r="B763" s="79">
        <f t="shared" si="87"/>
        <v>61027</v>
      </c>
      <c r="C763" s="88">
        <f t="shared" si="94"/>
        <v>0.26</v>
      </c>
      <c r="D763" s="88">
        <f t="shared" si="94"/>
        <v>0.27900000000000003</v>
      </c>
      <c r="E763" s="88">
        <f t="shared" si="94"/>
        <v>6.0999999999999999E-2</v>
      </c>
      <c r="F763" s="88">
        <f t="shared" si="94"/>
        <v>2.5999999999999999E-2</v>
      </c>
      <c r="G763" s="89">
        <v>0.26</v>
      </c>
      <c r="H763" s="89">
        <v>0.27900000000000003</v>
      </c>
      <c r="I763" s="89">
        <v>6.0999999999999999E-2</v>
      </c>
      <c r="J763" s="89">
        <v>2.5999999999999999E-2</v>
      </c>
      <c r="K763" s="78">
        <f>((7/3)*L758)+((5/3)*L770)</f>
        <v>161878</v>
      </c>
      <c r="L763" s="96"/>
      <c r="M763" s="355">
        <f t="shared" si="92"/>
        <v>0.6</v>
      </c>
      <c r="N763" s="355">
        <v>0.26</v>
      </c>
      <c r="O763" s="355">
        <f t="shared" si="93"/>
        <v>0.61</v>
      </c>
      <c r="P763" s="355">
        <v>0.34620000000000001</v>
      </c>
      <c r="Q763" s="355">
        <v>0.69640000000000002</v>
      </c>
      <c r="R763" s="355">
        <v>0.6</v>
      </c>
      <c r="S763" s="355">
        <v>0.61</v>
      </c>
    </row>
    <row r="764" spans="1:19" s="80" customFormat="1">
      <c r="A764" s="79">
        <f t="shared" si="88"/>
        <v>60691</v>
      </c>
      <c r="B764" s="79">
        <f t="shared" si="87"/>
        <v>61055</v>
      </c>
      <c r="C764" s="88">
        <f t="shared" si="94"/>
        <v>0.26</v>
      </c>
      <c r="D764" s="88">
        <f t="shared" si="94"/>
        <v>0.27900000000000003</v>
      </c>
      <c r="E764" s="88">
        <f t="shared" si="94"/>
        <v>6.0999999999999999E-2</v>
      </c>
      <c r="F764" s="88">
        <f t="shared" si="94"/>
        <v>2.5999999999999999E-2</v>
      </c>
      <c r="G764" s="89">
        <v>0.26</v>
      </c>
      <c r="H764" s="89">
        <v>0.27900000000000003</v>
      </c>
      <c r="I764" s="89">
        <v>6.0999999999999999E-2</v>
      </c>
      <c r="J764" s="89">
        <v>2.5999999999999999E-2</v>
      </c>
      <c r="K764" s="78">
        <f>((6/3)*L758)+((6/3)*L770)</f>
        <v>162539</v>
      </c>
      <c r="L764" s="96"/>
      <c r="M764" s="355">
        <f t="shared" si="92"/>
        <v>0.6</v>
      </c>
      <c r="N764" s="355">
        <v>0.26</v>
      </c>
      <c r="O764" s="355">
        <f t="shared" si="93"/>
        <v>0.61</v>
      </c>
      <c r="P764" s="355">
        <v>0.34620000000000001</v>
      </c>
      <c r="Q764" s="355">
        <v>0.69640000000000002</v>
      </c>
      <c r="R764" s="355">
        <v>0.6</v>
      </c>
      <c r="S764" s="355">
        <v>0.61</v>
      </c>
    </row>
    <row r="765" spans="1:19" s="80" customFormat="1">
      <c r="A765" s="79">
        <f t="shared" si="88"/>
        <v>60722</v>
      </c>
      <c r="B765" s="79">
        <f t="shared" si="87"/>
        <v>61086</v>
      </c>
      <c r="C765" s="88">
        <f t="shared" si="94"/>
        <v>0.26</v>
      </c>
      <c r="D765" s="88">
        <f t="shared" si="94"/>
        <v>0.27900000000000003</v>
      </c>
      <c r="E765" s="88">
        <f t="shared" si="94"/>
        <v>6.0999999999999999E-2</v>
      </c>
      <c r="F765" s="88">
        <f t="shared" si="94"/>
        <v>2.5999999999999999E-2</v>
      </c>
      <c r="G765" s="89">
        <v>0.26</v>
      </c>
      <c r="H765" s="89">
        <v>0.27900000000000003</v>
      </c>
      <c r="I765" s="89">
        <v>6.0999999999999999E-2</v>
      </c>
      <c r="J765" s="89">
        <v>2.5999999999999999E-2</v>
      </c>
      <c r="K765" s="78">
        <f>((5/3)*L758)+((7/3)*L770)</f>
        <v>163199</v>
      </c>
      <c r="L765" s="96"/>
      <c r="M765" s="355">
        <f t="shared" si="92"/>
        <v>0.6</v>
      </c>
      <c r="N765" s="355">
        <v>0.26</v>
      </c>
      <c r="O765" s="355">
        <f t="shared" si="93"/>
        <v>0.61</v>
      </c>
      <c r="P765" s="355">
        <v>0.34620000000000001</v>
      </c>
      <c r="Q765" s="355">
        <v>0.69640000000000002</v>
      </c>
      <c r="R765" s="355">
        <v>0.6</v>
      </c>
      <c r="S765" s="355">
        <v>0.61</v>
      </c>
    </row>
    <row r="766" spans="1:19" s="80" customFormat="1">
      <c r="A766" s="79">
        <f t="shared" si="88"/>
        <v>60752</v>
      </c>
      <c r="B766" s="79">
        <f t="shared" si="87"/>
        <v>61116</v>
      </c>
      <c r="C766" s="88">
        <f t="shared" si="94"/>
        <v>0.26</v>
      </c>
      <c r="D766" s="88">
        <f t="shared" si="94"/>
        <v>0.27900000000000003</v>
      </c>
      <c r="E766" s="88">
        <f t="shared" si="94"/>
        <v>6.0999999999999999E-2</v>
      </c>
      <c r="F766" s="88">
        <f t="shared" si="94"/>
        <v>2.5999999999999999E-2</v>
      </c>
      <c r="G766" s="89">
        <v>0.26</v>
      </c>
      <c r="H766" s="89">
        <v>0.27900000000000003</v>
      </c>
      <c r="I766" s="89">
        <v>6.0999999999999999E-2</v>
      </c>
      <c r="J766" s="89">
        <v>2.5999999999999999E-2</v>
      </c>
      <c r="K766" s="78">
        <f>((4/3)*L758)+((8/3)*L770)</f>
        <v>163860</v>
      </c>
      <c r="L766" s="96"/>
      <c r="M766" s="355">
        <f t="shared" si="92"/>
        <v>0.6</v>
      </c>
      <c r="N766" s="355">
        <v>0.26</v>
      </c>
      <c r="O766" s="355">
        <f t="shared" si="93"/>
        <v>0.61</v>
      </c>
      <c r="P766" s="355">
        <v>0.34620000000000001</v>
      </c>
      <c r="Q766" s="355">
        <v>0.69640000000000002</v>
      </c>
      <c r="R766" s="355">
        <v>0.6</v>
      </c>
      <c r="S766" s="355">
        <v>0.61</v>
      </c>
    </row>
    <row r="767" spans="1:19" s="80" customFormat="1">
      <c r="A767" s="79">
        <f t="shared" si="88"/>
        <v>60783</v>
      </c>
      <c r="B767" s="79">
        <f t="shared" si="87"/>
        <v>61147</v>
      </c>
      <c r="C767" s="88">
        <f t="shared" si="94"/>
        <v>0.26</v>
      </c>
      <c r="D767" s="88">
        <f t="shared" si="94"/>
        <v>0.27900000000000003</v>
      </c>
      <c r="E767" s="88">
        <f t="shared" si="94"/>
        <v>6.0999999999999999E-2</v>
      </c>
      <c r="F767" s="88">
        <f t="shared" si="94"/>
        <v>2.5999999999999999E-2</v>
      </c>
      <c r="G767" s="89">
        <v>0.26</v>
      </c>
      <c r="H767" s="89">
        <v>0.27900000000000003</v>
      </c>
      <c r="I767" s="89">
        <v>6.0999999999999999E-2</v>
      </c>
      <c r="J767" s="89">
        <v>2.5999999999999999E-2</v>
      </c>
      <c r="K767" s="78">
        <f>((3/3)*L758)+((9/3)*L770)</f>
        <v>164521</v>
      </c>
      <c r="L767" s="96"/>
      <c r="M767" s="355">
        <f t="shared" si="92"/>
        <v>0.6</v>
      </c>
      <c r="N767" s="355">
        <v>0.26</v>
      </c>
      <c r="O767" s="355">
        <f t="shared" si="93"/>
        <v>0.61</v>
      </c>
      <c r="P767" s="355">
        <v>0.34620000000000001</v>
      </c>
      <c r="Q767" s="355">
        <v>0.69640000000000002</v>
      </c>
      <c r="R767" s="355">
        <v>0.6</v>
      </c>
      <c r="S767" s="355">
        <v>0.61</v>
      </c>
    </row>
    <row r="768" spans="1:19" s="80" customFormat="1">
      <c r="A768" s="79">
        <f t="shared" si="88"/>
        <v>60813</v>
      </c>
      <c r="B768" s="79">
        <f t="shared" si="87"/>
        <v>61177</v>
      </c>
      <c r="C768" s="88">
        <f t="shared" si="94"/>
        <v>0.26</v>
      </c>
      <c r="D768" s="88">
        <f t="shared" si="94"/>
        <v>0.27900000000000003</v>
      </c>
      <c r="E768" s="88">
        <f t="shared" si="94"/>
        <v>6.0999999999999999E-2</v>
      </c>
      <c r="F768" s="88">
        <f t="shared" si="94"/>
        <v>2.5999999999999999E-2</v>
      </c>
      <c r="G768" s="89">
        <v>0.26</v>
      </c>
      <c r="H768" s="89">
        <v>0.27900000000000003</v>
      </c>
      <c r="I768" s="89">
        <v>6.0999999999999999E-2</v>
      </c>
      <c r="J768" s="89">
        <v>2.5999999999999999E-2</v>
      </c>
      <c r="K768" s="78">
        <f>((2/3)*L758)+((10/3)*L770)</f>
        <v>165182</v>
      </c>
      <c r="L768" s="96"/>
      <c r="M768" s="355">
        <f t="shared" si="92"/>
        <v>0.6</v>
      </c>
      <c r="N768" s="355">
        <v>0.26</v>
      </c>
      <c r="O768" s="355">
        <f t="shared" si="93"/>
        <v>0.61</v>
      </c>
      <c r="P768" s="355">
        <v>0.34620000000000001</v>
      </c>
      <c r="Q768" s="355">
        <v>0.69640000000000002</v>
      </c>
      <c r="R768" s="355">
        <v>0.6</v>
      </c>
      <c r="S768" s="355">
        <v>0.61</v>
      </c>
    </row>
    <row r="769" spans="1:19" s="80" customFormat="1">
      <c r="A769" s="79">
        <f t="shared" si="88"/>
        <v>60844</v>
      </c>
      <c r="B769" s="79">
        <f t="shared" si="87"/>
        <v>61208</v>
      </c>
      <c r="C769" s="88">
        <f t="shared" si="94"/>
        <v>0.26</v>
      </c>
      <c r="D769" s="88">
        <f t="shared" si="94"/>
        <v>0.27900000000000003</v>
      </c>
      <c r="E769" s="88">
        <f t="shared" si="94"/>
        <v>6.0999999999999999E-2</v>
      </c>
      <c r="F769" s="88">
        <f t="shared" si="94"/>
        <v>2.5999999999999999E-2</v>
      </c>
      <c r="G769" s="89">
        <v>0.26</v>
      </c>
      <c r="H769" s="89">
        <v>0.27900000000000003</v>
      </c>
      <c r="I769" s="89">
        <v>6.0999999999999999E-2</v>
      </c>
      <c r="J769" s="89">
        <v>2.5999999999999999E-2</v>
      </c>
      <c r="K769" s="78">
        <f>((1/3)*L758)+((11/3)*L770)</f>
        <v>165842</v>
      </c>
      <c r="L769" s="96"/>
      <c r="M769" s="355">
        <f t="shared" si="92"/>
        <v>0.6</v>
      </c>
      <c r="N769" s="355">
        <v>0.26</v>
      </c>
      <c r="O769" s="355">
        <f t="shared" si="93"/>
        <v>0.61</v>
      </c>
      <c r="P769" s="355">
        <v>0.34620000000000001</v>
      </c>
      <c r="Q769" s="355">
        <v>0.69640000000000002</v>
      </c>
      <c r="R769" s="355">
        <v>0.6</v>
      </c>
      <c r="S769" s="355">
        <v>0.61</v>
      </c>
    </row>
    <row r="770" spans="1:19">
      <c r="A770" s="19">
        <f t="shared" si="88"/>
        <v>60875</v>
      </c>
      <c r="B770" s="19">
        <f t="shared" ref="B770:B805" si="95">EDATE(A770,12)-1</f>
        <v>61239</v>
      </c>
      <c r="C770" s="86">
        <f t="shared" si="94"/>
        <v>0.26</v>
      </c>
      <c r="D770" s="86">
        <f t="shared" si="94"/>
        <v>0.27900000000000003</v>
      </c>
      <c r="E770" s="86">
        <f t="shared" si="94"/>
        <v>6.0999999999999999E-2</v>
      </c>
      <c r="F770" s="86">
        <f t="shared" si="94"/>
        <v>2.5999999999999999E-2</v>
      </c>
      <c r="G770" s="87">
        <v>0.26</v>
      </c>
      <c r="H770" s="87">
        <v>0.27900000000000003</v>
      </c>
      <c r="I770" s="87">
        <v>6.0999999999999999E-2</v>
      </c>
      <c r="J770" s="87">
        <v>2.5999999999999999E-2</v>
      </c>
      <c r="K770" s="25">
        <f>(L770*4)</f>
        <v>166503</v>
      </c>
      <c r="L770" s="95">
        <f>L758*1.05</f>
        <v>41625.78</v>
      </c>
      <c r="M770" s="82">
        <f t="shared" si="92"/>
        <v>0.6</v>
      </c>
      <c r="N770" s="82">
        <v>0.26</v>
      </c>
      <c r="O770" s="82">
        <f t="shared" si="93"/>
        <v>0.61</v>
      </c>
      <c r="P770" s="82">
        <v>0.34620000000000001</v>
      </c>
      <c r="Q770" s="82">
        <v>0.69640000000000002</v>
      </c>
      <c r="R770" s="82">
        <v>0.6</v>
      </c>
      <c r="S770" s="82">
        <v>0.61</v>
      </c>
    </row>
    <row r="771" spans="1:19">
      <c r="A771" s="19">
        <f t="shared" ref="A771:A805" si="96">EDATE(A770,1)</f>
        <v>60905</v>
      </c>
      <c r="B771" s="19">
        <f t="shared" si="95"/>
        <v>61269</v>
      </c>
      <c r="C771" s="86">
        <f t="shared" ref="C771:F786" si="97">AVERAGE(G771:G782)</f>
        <v>0.26</v>
      </c>
      <c r="D771" s="86">
        <f t="shared" si="97"/>
        <v>0.27900000000000003</v>
      </c>
      <c r="E771" s="86">
        <f t="shared" si="97"/>
        <v>6.0999999999999999E-2</v>
      </c>
      <c r="F771" s="86">
        <f t="shared" si="97"/>
        <v>2.5999999999999999E-2</v>
      </c>
      <c r="G771" s="87">
        <v>0.26</v>
      </c>
      <c r="H771" s="87">
        <v>0.27900000000000003</v>
      </c>
      <c r="I771" s="87">
        <v>6.0999999999999999E-2</v>
      </c>
      <c r="J771" s="87">
        <v>2.5999999999999999E-2</v>
      </c>
      <c r="K771" s="25">
        <f>((11/3)*L770)+((1/3)*L782)</f>
        <v>167197</v>
      </c>
      <c r="L771" s="95"/>
      <c r="M771" s="82">
        <f t="shared" si="92"/>
        <v>0.6</v>
      </c>
      <c r="N771" s="82">
        <v>0.26</v>
      </c>
      <c r="O771" s="82">
        <f t="shared" si="93"/>
        <v>0.61</v>
      </c>
      <c r="P771" s="82">
        <v>0.34620000000000001</v>
      </c>
      <c r="Q771" s="82">
        <v>0.69640000000000002</v>
      </c>
      <c r="R771" s="82">
        <v>0.6</v>
      </c>
      <c r="S771" s="82">
        <v>0.61</v>
      </c>
    </row>
    <row r="772" spans="1:19">
      <c r="A772" s="19">
        <f t="shared" si="96"/>
        <v>60936</v>
      </c>
      <c r="B772" s="19">
        <f t="shared" si="95"/>
        <v>61300</v>
      </c>
      <c r="C772" s="86">
        <f t="shared" si="97"/>
        <v>0.26</v>
      </c>
      <c r="D772" s="86">
        <f t="shared" si="97"/>
        <v>0.27900000000000003</v>
      </c>
      <c r="E772" s="86">
        <f t="shared" si="97"/>
        <v>6.0999999999999999E-2</v>
      </c>
      <c r="F772" s="86">
        <f t="shared" si="97"/>
        <v>2.5999999999999999E-2</v>
      </c>
      <c r="G772" s="87">
        <v>0.26</v>
      </c>
      <c r="H772" s="87">
        <v>0.27900000000000003</v>
      </c>
      <c r="I772" s="87">
        <v>6.0999999999999999E-2</v>
      </c>
      <c r="J772" s="87">
        <v>2.5999999999999999E-2</v>
      </c>
      <c r="K772" s="25">
        <f>((10/3)*L770)+((2/3)*L782)</f>
        <v>167891</v>
      </c>
      <c r="L772" s="95"/>
      <c r="M772" s="82">
        <f t="shared" si="92"/>
        <v>0.6</v>
      </c>
      <c r="N772" s="82">
        <v>0.26</v>
      </c>
      <c r="O772" s="82">
        <f t="shared" si="93"/>
        <v>0.61</v>
      </c>
      <c r="P772" s="82">
        <v>0.34620000000000001</v>
      </c>
      <c r="Q772" s="82">
        <v>0.69640000000000002</v>
      </c>
      <c r="R772" s="82">
        <v>0.6</v>
      </c>
      <c r="S772" s="82">
        <v>0.61</v>
      </c>
    </row>
    <row r="773" spans="1:19">
      <c r="A773" s="19">
        <f t="shared" si="96"/>
        <v>60966</v>
      </c>
      <c r="B773" s="19">
        <f t="shared" si="95"/>
        <v>61330</v>
      </c>
      <c r="C773" s="86">
        <f t="shared" si="97"/>
        <v>0.26</v>
      </c>
      <c r="D773" s="86">
        <f t="shared" si="97"/>
        <v>0.27900000000000003</v>
      </c>
      <c r="E773" s="86">
        <f t="shared" si="97"/>
        <v>6.0999999999999999E-2</v>
      </c>
      <c r="F773" s="86">
        <f t="shared" si="97"/>
        <v>2.5999999999999999E-2</v>
      </c>
      <c r="G773" s="87">
        <v>0.26</v>
      </c>
      <c r="H773" s="87">
        <v>0.27900000000000003</v>
      </c>
      <c r="I773" s="87">
        <v>6.0999999999999999E-2</v>
      </c>
      <c r="J773" s="87">
        <v>2.5999999999999999E-2</v>
      </c>
      <c r="K773" s="25">
        <f>((9/3)*L770)+((3/3)*L782)</f>
        <v>168584</v>
      </c>
      <c r="L773" s="95"/>
      <c r="M773" s="82">
        <f t="shared" si="92"/>
        <v>0.6</v>
      </c>
      <c r="N773" s="82">
        <v>0.26</v>
      </c>
      <c r="O773" s="82">
        <f t="shared" si="93"/>
        <v>0.61</v>
      </c>
      <c r="P773" s="82">
        <v>0.34620000000000001</v>
      </c>
      <c r="Q773" s="82">
        <v>0.69640000000000002</v>
      </c>
      <c r="R773" s="82">
        <v>0.6</v>
      </c>
      <c r="S773" s="82">
        <v>0.61</v>
      </c>
    </row>
    <row r="774" spans="1:19">
      <c r="A774" s="19">
        <f t="shared" si="96"/>
        <v>60997</v>
      </c>
      <c r="B774" s="19">
        <f t="shared" si="95"/>
        <v>61361</v>
      </c>
      <c r="C774" s="86">
        <f t="shared" si="97"/>
        <v>0.26</v>
      </c>
      <c r="D774" s="86">
        <f t="shared" si="97"/>
        <v>0.27900000000000003</v>
      </c>
      <c r="E774" s="86">
        <f t="shared" si="97"/>
        <v>6.0999999999999999E-2</v>
      </c>
      <c r="F774" s="86">
        <f t="shared" si="97"/>
        <v>2.5999999999999999E-2</v>
      </c>
      <c r="G774" s="87">
        <v>0.26</v>
      </c>
      <c r="H774" s="87">
        <v>0.27900000000000003</v>
      </c>
      <c r="I774" s="87">
        <v>6.0999999999999999E-2</v>
      </c>
      <c r="J774" s="87">
        <v>2.5999999999999999E-2</v>
      </c>
      <c r="K774" s="25">
        <f>((8/3)*L770)+((4/3)*L782)</f>
        <v>169278</v>
      </c>
      <c r="L774" s="95"/>
      <c r="M774" s="82">
        <f t="shared" si="92"/>
        <v>0.6</v>
      </c>
      <c r="N774" s="82">
        <v>0.26</v>
      </c>
      <c r="O774" s="82">
        <f t="shared" si="93"/>
        <v>0.61</v>
      </c>
      <c r="P774" s="82">
        <v>0.34620000000000001</v>
      </c>
      <c r="Q774" s="82">
        <v>0.69640000000000002</v>
      </c>
      <c r="R774" s="82">
        <v>0.6</v>
      </c>
      <c r="S774" s="82">
        <v>0.61</v>
      </c>
    </row>
    <row r="775" spans="1:19">
      <c r="A775" s="19">
        <f t="shared" si="96"/>
        <v>61028</v>
      </c>
      <c r="B775" s="19">
        <f t="shared" si="95"/>
        <v>61392</v>
      </c>
      <c r="C775" s="86">
        <f t="shared" si="97"/>
        <v>0.26</v>
      </c>
      <c r="D775" s="86">
        <f t="shared" si="97"/>
        <v>0.27900000000000003</v>
      </c>
      <c r="E775" s="86">
        <f t="shared" si="97"/>
        <v>6.0999999999999999E-2</v>
      </c>
      <c r="F775" s="86">
        <f t="shared" si="97"/>
        <v>2.5999999999999999E-2</v>
      </c>
      <c r="G775" s="87">
        <v>0.26</v>
      </c>
      <c r="H775" s="87">
        <v>0.27900000000000003</v>
      </c>
      <c r="I775" s="87">
        <v>6.0999999999999999E-2</v>
      </c>
      <c r="J775" s="87">
        <v>2.5999999999999999E-2</v>
      </c>
      <c r="K775" s="25">
        <f>((7/3)*L770)+((5/3)*L782)</f>
        <v>169972</v>
      </c>
      <c r="L775" s="95"/>
      <c r="M775" s="82">
        <f t="shared" si="92"/>
        <v>0.6</v>
      </c>
      <c r="N775" s="82">
        <v>0.26</v>
      </c>
      <c r="O775" s="82">
        <f t="shared" si="93"/>
        <v>0.61</v>
      </c>
      <c r="P775" s="82">
        <v>0.34620000000000001</v>
      </c>
      <c r="Q775" s="82">
        <v>0.69640000000000002</v>
      </c>
      <c r="R775" s="82">
        <v>0.6</v>
      </c>
      <c r="S775" s="82">
        <v>0.61</v>
      </c>
    </row>
    <row r="776" spans="1:19">
      <c r="A776" s="19">
        <f t="shared" si="96"/>
        <v>61056</v>
      </c>
      <c r="B776" s="19">
        <f t="shared" si="95"/>
        <v>61421</v>
      </c>
      <c r="C776" s="86">
        <f t="shared" si="97"/>
        <v>0.26</v>
      </c>
      <c r="D776" s="86">
        <f t="shared" si="97"/>
        <v>0.27900000000000003</v>
      </c>
      <c r="E776" s="86">
        <f t="shared" si="97"/>
        <v>6.0999999999999999E-2</v>
      </c>
      <c r="F776" s="86">
        <f t="shared" si="97"/>
        <v>2.5999999999999999E-2</v>
      </c>
      <c r="G776" s="87">
        <v>0.26</v>
      </c>
      <c r="H776" s="87">
        <v>0.27900000000000003</v>
      </c>
      <c r="I776" s="87">
        <v>6.0999999999999999E-2</v>
      </c>
      <c r="J776" s="87">
        <v>2.5999999999999999E-2</v>
      </c>
      <c r="K776" s="25">
        <f>((6/3)*L770)+((6/3)*L782)</f>
        <v>170666</v>
      </c>
      <c r="L776" s="95"/>
      <c r="M776" s="82">
        <f t="shared" si="92"/>
        <v>0.6</v>
      </c>
      <c r="N776" s="82">
        <v>0.26</v>
      </c>
      <c r="O776" s="82">
        <f t="shared" si="93"/>
        <v>0.61</v>
      </c>
      <c r="P776" s="82">
        <v>0.34620000000000001</v>
      </c>
      <c r="Q776" s="82">
        <v>0.69640000000000002</v>
      </c>
      <c r="R776" s="82">
        <v>0.6</v>
      </c>
      <c r="S776" s="82">
        <v>0.61</v>
      </c>
    </row>
    <row r="777" spans="1:19">
      <c r="A777" s="19">
        <f t="shared" si="96"/>
        <v>61087</v>
      </c>
      <c r="B777" s="19">
        <f t="shared" si="95"/>
        <v>61452</v>
      </c>
      <c r="C777" s="86">
        <f t="shared" si="97"/>
        <v>0.26</v>
      </c>
      <c r="D777" s="86">
        <f t="shared" si="97"/>
        <v>0.27900000000000003</v>
      </c>
      <c r="E777" s="86">
        <f t="shared" si="97"/>
        <v>6.0999999999999999E-2</v>
      </c>
      <c r="F777" s="86">
        <f t="shared" si="97"/>
        <v>2.5999999999999999E-2</v>
      </c>
      <c r="G777" s="87">
        <v>0.26</v>
      </c>
      <c r="H777" s="87">
        <v>0.27900000000000003</v>
      </c>
      <c r="I777" s="87">
        <v>6.0999999999999999E-2</v>
      </c>
      <c r="J777" s="87">
        <v>2.5999999999999999E-2</v>
      </c>
      <c r="K777" s="25">
        <f>((5/3)*L770)+((7/3)*L782)</f>
        <v>171359</v>
      </c>
      <c r="L777" s="95"/>
      <c r="M777" s="82">
        <f t="shared" si="92"/>
        <v>0.6</v>
      </c>
      <c r="N777" s="82">
        <v>0.26</v>
      </c>
      <c r="O777" s="82">
        <f t="shared" si="93"/>
        <v>0.61</v>
      </c>
      <c r="P777" s="82">
        <v>0.34620000000000001</v>
      </c>
      <c r="Q777" s="82">
        <v>0.69640000000000002</v>
      </c>
      <c r="R777" s="82">
        <v>0.6</v>
      </c>
      <c r="S777" s="82">
        <v>0.61</v>
      </c>
    </row>
    <row r="778" spans="1:19">
      <c r="A778" s="19">
        <f t="shared" si="96"/>
        <v>61117</v>
      </c>
      <c r="B778" s="19">
        <f t="shared" si="95"/>
        <v>61482</v>
      </c>
      <c r="C778" s="86">
        <f t="shared" si="97"/>
        <v>0.26</v>
      </c>
      <c r="D778" s="86">
        <f t="shared" si="97"/>
        <v>0.27900000000000003</v>
      </c>
      <c r="E778" s="86">
        <f t="shared" si="97"/>
        <v>6.0999999999999999E-2</v>
      </c>
      <c r="F778" s="86">
        <f t="shared" si="97"/>
        <v>2.5999999999999999E-2</v>
      </c>
      <c r="G778" s="87">
        <v>0.26</v>
      </c>
      <c r="H778" s="87">
        <v>0.27900000000000003</v>
      </c>
      <c r="I778" s="87">
        <v>6.0999999999999999E-2</v>
      </c>
      <c r="J778" s="87">
        <v>2.5999999999999999E-2</v>
      </c>
      <c r="K778" s="25">
        <f>((4/3)*L770)+((8/3)*L782)</f>
        <v>172053</v>
      </c>
      <c r="L778" s="95"/>
      <c r="M778" s="82">
        <f t="shared" si="92"/>
        <v>0.6</v>
      </c>
      <c r="N778" s="82">
        <v>0.26</v>
      </c>
      <c r="O778" s="82">
        <f t="shared" si="93"/>
        <v>0.61</v>
      </c>
      <c r="P778" s="82">
        <v>0.34620000000000001</v>
      </c>
      <c r="Q778" s="82">
        <v>0.69640000000000002</v>
      </c>
      <c r="R778" s="82">
        <v>0.6</v>
      </c>
      <c r="S778" s="82">
        <v>0.61</v>
      </c>
    </row>
    <row r="779" spans="1:19">
      <c r="A779" s="19">
        <f t="shared" si="96"/>
        <v>61148</v>
      </c>
      <c r="B779" s="19">
        <f t="shared" si="95"/>
        <v>61513</v>
      </c>
      <c r="C779" s="86">
        <f t="shared" si="97"/>
        <v>0.26</v>
      </c>
      <c r="D779" s="86">
        <f t="shared" si="97"/>
        <v>0.27900000000000003</v>
      </c>
      <c r="E779" s="86">
        <f t="shared" si="97"/>
        <v>6.0999999999999999E-2</v>
      </c>
      <c r="F779" s="86">
        <f t="shared" si="97"/>
        <v>2.5999999999999999E-2</v>
      </c>
      <c r="G779" s="87">
        <v>0.26</v>
      </c>
      <c r="H779" s="87">
        <v>0.27900000000000003</v>
      </c>
      <c r="I779" s="87">
        <v>6.0999999999999999E-2</v>
      </c>
      <c r="J779" s="87">
        <v>2.5999999999999999E-2</v>
      </c>
      <c r="K779" s="25">
        <f>((3/3)*L770)+((9/3)*L782)</f>
        <v>172747</v>
      </c>
      <c r="L779" s="95"/>
      <c r="M779" s="82">
        <f t="shared" si="92"/>
        <v>0.6</v>
      </c>
      <c r="N779" s="82">
        <v>0.26</v>
      </c>
      <c r="O779" s="82">
        <f t="shared" si="93"/>
        <v>0.61</v>
      </c>
      <c r="P779" s="82">
        <v>0.34620000000000001</v>
      </c>
      <c r="Q779" s="82">
        <v>0.69640000000000002</v>
      </c>
      <c r="R779" s="82">
        <v>0.6</v>
      </c>
      <c r="S779" s="82">
        <v>0.61</v>
      </c>
    </row>
    <row r="780" spans="1:19">
      <c r="A780" s="19">
        <f t="shared" si="96"/>
        <v>61178</v>
      </c>
      <c r="B780" s="19">
        <f t="shared" si="95"/>
        <v>61543</v>
      </c>
      <c r="C780" s="86">
        <f t="shared" si="97"/>
        <v>0.26</v>
      </c>
      <c r="D780" s="86">
        <f t="shared" si="97"/>
        <v>0.27900000000000003</v>
      </c>
      <c r="E780" s="86">
        <f t="shared" si="97"/>
        <v>6.0999999999999999E-2</v>
      </c>
      <c r="F780" s="86">
        <f t="shared" si="97"/>
        <v>2.5999999999999999E-2</v>
      </c>
      <c r="G780" s="87">
        <v>0.26</v>
      </c>
      <c r="H780" s="87">
        <v>0.27900000000000003</v>
      </c>
      <c r="I780" s="87">
        <v>6.0999999999999999E-2</v>
      </c>
      <c r="J780" s="87">
        <v>2.5999999999999999E-2</v>
      </c>
      <c r="K780" s="25">
        <f>((2/3)*L770)+((10/3)*L782)</f>
        <v>173441</v>
      </c>
      <c r="L780" s="95"/>
      <c r="M780" s="82">
        <f t="shared" si="92"/>
        <v>0.6</v>
      </c>
      <c r="N780" s="82">
        <v>0.26</v>
      </c>
      <c r="O780" s="82">
        <f t="shared" si="93"/>
        <v>0.61</v>
      </c>
      <c r="P780" s="82">
        <v>0.34620000000000001</v>
      </c>
      <c r="Q780" s="82">
        <v>0.69640000000000002</v>
      </c>
      <c r="R780" s="82">
        <v>0.6</v>
      </c>
      <c r="S780" s="82">
        <v>0.61</v>
      </c>
    </row>
    <row r="781" spans="1:19">
      <c r="A781" s="19">
        <f t="shared" si="96"/>
        <v>61209</v>
      </c>
      <c r="B781" s="19">
        <f t="shared" si="95"/>
        <v>61574</v>
      </c>
      <c r="C781" s="83">
        <f t="shared" si="97"/>
        <v>0.26</v>
      </c>
      <c r="D781" s="83">
        <f t="shared" si="97"/>
        <v>0.27900000000000003</v>
      </c>
      <c r="E781" s="83">
        <f t="shared" si="97"/>
        <v>6.0999999999999999E-2</v>
      </c>
      <c r="F781" s="83">
        <f t="shared" si="97"/>
        <v>2.5999999999999999E-2</v>
      </c>
      <c r="G781" s="87">
        <v>0.26</v>
      </c>
      <c r="H781" s="87">
        <v>0.27900000000000003</v>
      </c>
      <c r="I781" s="87">
        <v>6.0999999999999999E-2</v>
      </c>
      <c r="J781" s="87">
        <v>2.5999999999999999E-2</v>
      </c>
      <c r="K781" s="25">
        <f>((1/3)*L770)+((11/3)*L782)</f>
        <v>174135</v>
      </c>
      <c r="L781" s="95"/>
      <c r="M781" s="82">
        <f t="shared" si="92"/>
        <v>0.6</v>
      </c>
      <c r="N781" s="82">
        <v>0.26</v>
      </c>
      <c r="O781" s="82">
        <f t="shared" si="93"/>
        <v>0.61</v>
      </c>
      <c r="P781" s="82">
        <v>0.34620000000000001</v>
      </c>
      <c r="Q781" s="82">
        <v>0.69640000000000002</v>
      </c>
      <c r="R781" s="82">
        <v>0.6</v>
      </c>
      <c r="S781" s="82">
        <v>0.61</v>
      </c>
    </row>
    <row r="782" spans="1:19" s="80" customFormat="1">
      <c r="A782" s="79">
        <f t="shared" si="96"/>
        <v>61240</v>
      </c>
      <c r="B782" s="79">
        <f t="shared" si="95"/>
        <v>61605</v>
      </c>
      <c r="C782" s="88">
        <f t="shared" si="97"/>
        <v>0.26</v>
      </c>
      <c r="D782" s="88">
        <f t="shared" si="97"/>
        <v>0.27900000000000003</v>
      </c>
      <c r="E782" s="88">
        <f t="shared" si="97"/>
        <v>6.0999999999999999E-2</v>
      </c>
      <c r="F782" s="88">
        <f t="shared" si="97"/>
        <v>2.5999999999999999E-2</v>
      </c>
      <c r="G782" s="89">
        <v>0.26</v>
      </c>
      <c r="H782" s="89">
        <v>0.27900000000000003</v>
      </c>
      <c r="I782" s="89">
        <v>6.0999999999999999E-2</v>
      </c>
      <c r="J782" s="89">
        <v>2.5999999999999999E-2</v>
      </c>
      <c r="K782" s="78">
        <f>(L782*4)</f>
        <v>174828</v>
      </c>
      <c r="L782" s="96">
        <f>L770*1.05</f>
        <v>43707.07</v>
      </c>
      <c r="M782" s="355">
        <f t="shared" si="92"/>
        <v>0.6</v>
      </c>
      <c r="N782" s="355">
        <v>0.26</v>
      </c>
      <c r="O782" s="355">
        <f t="shared" si="93"/>
        <v>0.61</v>
      </c>
      <c r="P782" s="355">
        <v>0.34620000000000001</v>
      </c>
      <c r="Q782" s="355">
        <v>0.69640000000000002</v>
      </c>
      <c r="R782" s="355">
        <v>0.6</v>
      </c>
      <c r="S782" s="355">
        <v>0.61</v>
      </c>
    </row>
    <row r="783" spans="1:19" s="80" customFormat="1">
      <c r="A783" s="79">
        <f t="shared" si="96"/>
        <v>61270</v>
      </c>
      <c r="B783" s="79">
        <f t="shared" si="95"/>
        <v>61635</v>
      </c>
      <c r="C783" s="88">
        <f t="shared" si="97"/>
        <v>0.26</v>
      </c>
      <c r="D783" s="88">
        <f t="shared" si="97"/>
        <v>0.27900000000000003</v>
      </c>
      <c r="E783" s="88">
        <f t="shared" si="97"/>
        <v>6.0999999999999999E-2</v>
      </c>
      <c r="F783" s="88">
        <f t="shared" si="97"/>
        <v>2.5999999999999999E-2</v>
      </c>
      <c r="G783" s="89">
        <v>0.26</v>
      </c>
      <c r="H783" s="89">
        <v>0.27900000000000003</v>
      </c>
      <c r="I783" s="89">
        <v>6.0999999999999999E-2</v>
      </c>
      <c r="J783" s="89">
        <v>2.5999999999999999E-2</v>
      </c>
      <c r="K783" s="78">
        <f>((11/3)*L782)+((1/3)*L794)</f>
        <v>175557</v>
      </c>
      <c r="L783" s="96"/>
      <c r="M783" s="355">
        <f t="shared" si="92"/>
        <v>0.6</v>
      </c>
      <c r="N783" s="355">
        <v>0.26</v>
      </c>
      <c r="O783" s="355">
        <f t="shared" si="93"/>
        <v>0.61</v>
      </c>
      <c r="P783" s="355">
        <v>0.34620000000000001</v>
      </c>
      <c r="Q783" s="355">
        <v>0.69640000000000002</v>
      </c>
      <c r="R783" s="355">
        <v>0.6</v>
      </c>
      <c r="S783" s="355">
        <v>0.61</v>
      </c>
    </row>
    <row r="784" spans="1:19" s="80" customFormat="1">
      <c r="A784" s="79">
        <f t="shared" si="96"/>
        <v>61301</v>
      </c>
      <c r="B784" s="79">
        <f t="shared" si="95"/>
        <v>61666</v>
      </c>
      <c r="C784" s="88">
        <f t="shared" si="97"/>
        <v>0.26</v>
      </c>
      <c r="D784" s="88">
        <f t="shared" si="97"/>
        <v>0.27900000000000003</v>
      </c>
      <c r="E784" s="88">
        <f t="shared" si="97"/>
        <v>6.0999999999999999E-2</v>
      </c>
      <c r="F784" s="88">
        <f t="shared" si="97"/>
        <v>2.5999999999999999E-2</v>
      </c>
      <c r="G784" s="89">
        <v>0.26</v>
      </c>
      <c r="H784" s="89">
        <v>0.27900000000000003</v>
      </c>
      <c r="I784" s="89">
        <v>6.0999999999999999E-2</v>
      </c>
      <c r="J784" s="89">
        <v>2.5999999999999999E-2</v>
      </c>
      <c r="K784" s="78">
        <f>((10/3)*L782)+((2/3)*L794)</f>
        <v>176285</v>
      </c>
      <c r="L784" s="96"/>
      <c r="M784" s="355">
        <f t="shared" si="92"/>
        <v>0.6</v>
      </c>
      <c r="N784" s="355">
        <v>0.26</v>
      </c>
      <c r="O784" s="355">
        <f t="shared" si="93"/>
        <v>0.61</v>
      </c>
      <c r="P784" s="355">
        <v>0.34620000000000001</v>
      </c>
      <c r="Q784" s="355">
        <v>0.69640000000000002</v>
      </c>
      <c r="R784" s="355">
        <v>0.6</v>
      </c>
      <c r="S784" s="355">
        <v>0.61</v>
      </c>
    </row>
    <row r="785" spans="1:19" s="80" customFormat="1">
      <c r="A785" s="79">
        <f t="shared" si="96"/>
        <v>61331</v>
      </c>
      <c r="B785" s="79">
        <f t="shared" si="95"/>
        <v>61696</v>
      </c>
      <c r="C785" s="88">
        <f t="shared" si="97"/>
        <v>0.26</v>
      </c>
      <c r="D785" s="88">
        <f t="shared" si="97"/>
        <v>0.27900000000000003</v>
      </c>
      <c r="E785" s="88">
        <f t="shared" si="97"/>
        <v>6.0999999999999999E-2</v>
      </c>
      <c r="F785" s="88">
        <f t="shared" si="97"/>
        <v>2.5999999999999999E-2</v>
      </c>
      <c r="G785" s="89">
        <v>0.26</v>
      </c>
      <c r="H785" s="89">
        <v>0.27900000000000003</v>
      </c>
      <c r="I785" s="89">
        <v>6.0999999999999999E-2</v>
      </c>
      <c r="J785" s="89">
        <v>2.5999999999999999E-2</v>
      </c>
      <c r="K785" s="78">
        <f>((9/3)*L782)+((3/3)*L794)</f>
        <v>177014</v>
      </c>
      <c r="L785" s="96"/>
      <c r="M785" s="355">
        <f t="shared" si="92"/>
        <v>0.6</v>
      </c>
      <c r="N785" s="355">
        <v>0.26</v>
      </c>
      <c r="O785" s="355">
        <f t="shared" si="93"/>
        <v>0.61</v>
      </c>
      <c r="P785" s="355">
        <v>0.34620000000000001</v>
      </c>
      <c r="Q785" s="355">
        <v>0.69640000000000002</v>
      </c>
      <c r="R785" s="355">
        <v>0.6</v>
      </c>
      <c r="S785" s="355">
        <v>0.61</v>
      </c>
    </row>
    <row r="786" spans="1:19" s="80" customFormat="1">
      <c r="A786" s="79">
        <f t="shared" si="96"/>
        <v>61362</v>
      </c>
      <c r="B786" s="79">
        <f t="shared" si="95"/>
        <v>61727</v>
      </c>
      <c r="C786" s="88">
        <f t="shared" si="97"/>
        <v>0.26</v>
      </c>
      <c r="D786" s="88">
        <f t="shared" si="97"/>
        <v>0.27900000000000003</v>
      </c>
      <c r="E786" s="88">
        <f t="shared" si="97"/>
        <v>6.0999999999999999E-2</v>
      </c>
      <c r="F786" s="88">
        <f t="shared" si="97"/>
        <v>2.5999999999999999E-2</v>
      </c>
      <c r="G786" s="89">
        <v>0.26</v>
      </c>
      <c r="H786" s="89">
        <v>0.27900000000000003</v>
      </c>
      <c r="I786" s="89">
        <v>6.0999999999999999E-2</v>
      </c>
      <c r="J786" s="89">
        <v>2.5999999999999999E-2</v>
      </c>
      <c r="K786" s="78">
        <f>((8/3)*L782)+((4/3)*L794)</f>
        <v>177742</v>
      </c>
      <c r="L786" s="96"/>
      <c r="M786" s="355">
        <f t="shared" si="92"/>
        <v>0.6</v>
      </c>
      <c r="N786" s="355">
        <v>0.26</v>
      </c>
      <c r="O786" s="355">
        <f t="shared" si="93"/>
        <v>0.61</v>
      </c>
      <c r="P786" s="355">
        <v>0.34620000000000001</v>
      </c>
      <c r="Q786" s="355">
        <v>0.69640000000000002</v>
      </c>
      <c r="R786" s="355">
        <v>0.6</v>
      </c>
      <c r="S786" s="355">
        <v>0.61</v>
      </c>
    </row>
    <row r="787" spans="1:19" s="80" customFormat="1">
      <c r="A787" s="79">
        <f t="shared" si="96"/>
        <v>61393</v>
      </c>
      <c r="B787" s="79">
        <f t="shared" si="95"/>
        <v>61758</v>
      </c>
      <c r="C787" s="88">
        <f t="shared" ref="C787:F794" si="98">AVERAGE(G787:G798)</f>
        <v>0.26</v>
      </c>
      <c r="D787" s="88">
        <f t="shared" si="98"/>
        <v>0.27900000000000003</v>
      </c>
      <c r="E787" s="88">
        <f t="shared" si="98"/>
        <v>6.0999999999999999E-2</v>
      </c>
      <c r="F787" s="88">
        <f t="shared" si="98"/>
        <v>2.5999999999999999E-2</v>
      </c>
      <c r="G787" s="89">
        <v>0.26</v>
      </c>
      <c r="H787" s="89">
        <v>0.27900000000000003</v>
      </c>
      <c r="I787" s="89">
        <v>6.0999999999999999E-2</v>
      </c>
      <c r="J787" s="89">
        <v>2.5999999999999999E-2</v>
      </c>
      <c r="K787" s="78">
        <f>((7/3)*L782)+((5/3)*L794)</f>
        <v>178471</v>
      </c>
      <c r="L787" s="96"/>
      <c r="M787" s="355">
        <f t="shared" si="92"/>
        <v>0.6</v>
      </c>
      <c r="N787" s="355">
        <v>0.26</v>
      </c>
      <c r="O787" s="355">
        <f t="shared" si="93"/>
        <v>0.61</v>
      </c>
      <c r="P787" s="355">
        <v>0.34620000000000001</v>
      </c>
      <c r="Q787" s="355">
        <v>0.69640000000000002</v>
      </c>
      <c r="R787" s="355">
        <v>0.6</v>
      </c>
      <c r="S787" s="355">
        <v>0.61</v>
      </c>
    </row>
    <row r="788" spans="1:19" s="80" customFormat="1">
      <c r="A788" s="79">
        <f t="shared" si="96"/>
        <v>61422</v>
      </c>
      <c r="B788" s="79">
        <f t="shared" si="95"/>
        <v>61786</v>
      </c>
      <c r="C788" s="88">
        <f t="shared" si="98"/>
        <v>0.26</v>
      </c>
      <c r="D788" s="88">
        <f t="shared" si="98"/>
        <v>0.27900000000000003</v>
      </c>
      <c r="E788" s="88">
        <f t="shared" si="98"/>
        <v>6.0999999999999999E-2</v>
      </c>
      <c r="F788" s="88">
        <f t="shared" si="98"/>
        <v>2.5999999999999999E-2</v>
      </c>
      <c r="G788" s="89">
        <v>0.26</v>
      </c>
      <c r="H788" s="89">
        <v>0.27900000000000003</v>
      </c>
      <c r="I788" s="89">
        <v>6.0999999999999999E-2</v>
      </c>
      <c r="J788" s="89">
        <v>2.5999999999999999E-2</v>
      </c>
      <c r="K788" s="78">
        <f>((6/3)*L782)+((6/3)*L794)</f>
        <v>179199</v>
      </c>
      <c r="L788" s="96"/>
      <c r="M788" s="355">
        <f t="shared" si="92"/>
        <v>0.6</v>
      </c>
      <c r="N788" s="355">
        <v>0.26</v>
      </c>
      <c r="O788" s="355">
        <f t="shared" si="93"/>
        <v>0.61</v>
      </c>
      <c r="P788" s="355">
        <v>0.34620000000000001</v>
      </c>
      <c r="Q788" s="355">
        <v>0.69640000000000002</v>
      </c>
      <c r="R788" s="355">
        <v>0.6</v>
      </c>
      <c r="S788" s="355">
        <v>0.61</v>
      </c>
    </row>
    <row r="789" spans="1:19" s="80" customFormat="1">
      <c r="A789" s="79">
        <f t="shared" si="96"/>
        <v>61453</v>
      </c>
      <c r="B789" s="79">
        <f t="shared" si="95"/>
        <v>61817</v>
      </c>
      <c r="C789" s="88">
        <f t="shared" si="98"/>
        <v>0.26</v>
      </c>
      <c r="D789" s="88">
        <f t="shared" si="98"/>
        <v>0.27900000000000003</v>
      </c>
      <c r="E789" s="88">
        <f t="shared" si="98"/>
        <v>6.0999999999999999E-2</v>
      </c>
      <c r="F789" s="88">
        <f t="shared" si="98"/>
        <v>2.5999999999999999E-2</v>
      </c>
      <c r="G789" s="89">
        <v>0.26</v>
      </c>
      <c r="H789" s="89">
        <v>0.27900000000000003</v>
      </c>
      <c r="I789" s="89">
        <v>6.0999999999999999E-2</v>
      </c>
      <c r="J789" s="89">
        <v>2.5999999999999999E-2</v>
      </c>
      <c r="K789" s="78">
        <f>((5/3)*L782)+((7/3)*L794)</f>
        <v>179927</v>
      </c>
      <c r="L789" s="96"/>
      <c r="M789" s="355">
        <f t="shared" si="92"/>
        <v>0.6</v>
      </c>
      <c r="N789" s="355">
        <v>0.26</v>
      </c>
      <c r="O789" s="355">
        <f t="shared" si="93"/>
        <v>0.61</v>
      </c>
      <c r="P789" s="355">
        <v>0.34620000000000001</v>
      </c>
      <c r="Q789" s="355">
        <v>0.69640000000000002</v>
      </c>
      <c r="R789" s="355">
        <v>0.6</v>
      </c>
      <c r="S789" s="355">
        <v>0.61</v>
      </c>
    </row>
    <row r="790" spans="1:19" s="80" customFormat="1">
      <c r="A790" s="79">
        <f t="shared" si="96"/>
        <v>61483</v>
      </c>
      <c r="B790" s="79">
        <f t="shared" si="95"/>
        <v>61847</v>
      </c>
      <c r="C790" s="88">
        <f t="shared" si="98"/>
        <v>0.26</v>
      </c>
      <c r="D790" s="88">
        <f t="shared" si="98"/>
        <v>0.27900000000000003</v>
      </c>
      <c r="E790" s="88">
        <f t="shared" si="98"/>
        <v>6.0999999999999999E-2</v>
      </c>
      <c r="F790" s="88">
        <f t="shared" si="98"/>
        <v>2.5999999999999999E-2</v>
      </c>
      <c r="G790" s="89">
        <v>0.26</v>
      </c>
      <c r="H790" s="89">
        <v>0.27900000000000003</v>
      </c>
      <c r="I790" s="89">
        <v>6.0999999999999999E-2</v>
      </c>
      <c r="J790" s="89">
        <v>2.5999999999999999E-2</v>
      </c>
      <c r="K790" s="78">
        <f>((4/3)*L782)+((8/3)*L794)</f>
        <v>180656</v>
      </c>
      <c r="L790" s="96"/>
      <c r="M790" s="355">
        <f t="shared" si="92"/>
        <v>0.6</v>
      </c>
      <c r="N790" s="355">
        <v>0.26</v>
      </c>
      <c r="O790" s="355">
        <f t="shared" si="93"/>
        <v>0.61</v>
      </c>
      <c r="P790" s="355">
        <v>0.34620000000000001</v>
      </c>
      <c r="Q790" s="355">
        <v>0.69640000000000002</v>
      </c>
      <c r="R790" s="355">
        <v>0.6</v>
      </c>
      <c r="S790" s="355">
        <v>0.61</v>
      </c>
    </row>
    <row r="791" spans="1:19" s="80" customFormat="1">
      <c r="A791" s="79">
        <f t="shared" si="96"/>
        <v>61514</v>
      </c>
      <c r="B791" s="79">
        <f t="shared" si="95"/>
        <v>61878</v>
      </c>
      <c r="C791" s="88">
        <f t="shared" si="98"/>
        <v>0.26</v>
      </c>
      <c r="D791" s="88">
        <f t="shared" si="98"/>
        <v>0.27900000000000003</v>
      </c>
      <c r="E791" s="88">
        <f t="shared" si="98"/>
        <v>6.0999999999999999E-2</v>
      </c>
      <c r="F791" s="88">
        <f t="shared" si="98"/>
        <v>2.5999999999999999E-2</v>
      </c>
      <c r="G791" s="89">
        <v>0.26</v>
      </c>
      <c r="H791" s="89">
        <v>0.27900000000000003</v>
      </c>
      <c r="I791" s="89">
        <v>6.0999999999999999E-2</v>
      </c>
      <c r="J791" s="89">
        <v>2.5999999999999999E-2</v>
      </c>
      <c r="K791" s="78">
        <f>((3/3)*L782)+((9/3)*L794)</f>
        <v>181384</v>
      </c>
      <c r="L791" s="96"/>
      <c r="M791" s="355">
        <f t="shared" si="92"/>
        <v>0.6</v>
      </c>
      <c r="N791" s="355">
        <v>0.26</v>
      </c>
      <c r="O791" s="355">
        <f t="shared" si="93"/>
        <v>0.61</v>
      </c>
      <c r="P791" s="355">
        <v>0.34620000000000001</v>
      </c>
      <c r="Q791" s="355">
        <v>0.69640000000000002</v>
      </c>
      <c r="R791" s="355">
        <v>0.6</v>
      </c>
      <c r="S791" s="355">
        <v>0.61</v>
      </c>
    </row>
    <row r="792" spans="1:19" s="80" customFormat="1">
      <c r="A792" s="79">
        <f t="shared" si="96"/>
        <v>61544</v>
      </c>
      <c r="B792" s="79">
        <f t="shared" si="95"/>
        <v>61908</v>
      </c>
      <c r="C792" s="88">
        <f t="shared" si="98"/>
        <v>0.26</v>
      </c>
      <c r="D792" s="88">
        <f t="shared" si="98"/>
        <v>0.27900000000000003</v>
      </c>
      <c r="E792" s="88">
        <f t="shared" si="98"/>
        <v>6.0999999999999999E-2</v>
      </c>
      <c r="F792" s="88">
        <f t="shared" si="98"/>
        <v>2.5999999999999999E-2</v>
      </c>
      <c r="G792" s="89">
        <v>0.26</v>
      </c>
      <c r="H792" s="89">
        <v>0.27900000000000003</v>
      </c>
      <c r="I792" s="89">
        <v>6.0999999999999999E-2</v>
      </c>
      <c r="J792" s="89">
        <v>2.5999999999999999E-2</v>
      </c>
      <c r="K792" s="78">
        <f>((2/3)*L782)+((10/3)*L794)</f>
        <v>182113</v>
      </c>
      <c r="L792" s="96"/>
      <c r="M792" s="355">
        <f t="shared" si="92"/>
        <v>0.6</v>
      </c>
      <c r="N792" s="355">
        <v>0.26</v>
      </c>
      <c r="O792" s="355">
        <f t="shared" si="93"/>
        <v>0.61</v>
      </c>
      <c r="P792" s="355">
        <v>0.34620000000000001</v>
      </c>
      <c r="Q792" s="355">
        <v>0.69640000000000002</v>
      </c>
      <c r="R792" s="355">
        <v>0.6</v>
      </c>
      <c r="S792" s="355">
        <v>0.61</v>
      </c>
    </row>
    <row r="793" spans="1:19" s="80" customFormat="1">
      <c r="A793" s="79">
        <f t="shared" si="96"/>
        <v>61575</v>
      </c>
      <c r="B793" s="79">
        <f t="shared" si="95"/>
        <v>61939</v>
      </c>
      <c r="C793" s="88">
        <f t="shared" si="98"/>
        <v>0.26</v>
      </c>
      <c r="D793" s="88">
        <f t="shared" si="98"/>
        <v>0.27900000000000003</v>
      </c>
      <c r="E793" s="88">
        <f t="shared" si="98"/>
        <v>6.0999999999999999E-2</v>
      </c>
      <c r="F793" s="88">
        <f t="shared" si="98"/>
        <v>2.5999999999999999E-2</v>
      </c>
      <c r="G793" s="89">
        <v>0.26</v>
      </c>
      <c r="H793" s="89">
        <v>0.27900000000000003</v>
      </c>
      <c r="I793" s="89">
        <v>6.0999999999999999E-2</v>
      </c>
      <c r="J793" s="89">
        <v>2.5999999999999999E-2</v>
      </c>
      <c r="K793" s="78">
        <f>((1/3)*L782)+((11/3)*L794)</f>
        <v>182841</v>
      </c>
      <c r="L793" s="96"/>
      <c r="M793" s="355">
        <f t="shared" si="92"/>
        <v>0.6</v>
      </c>
      <c r="N793" s="355">
        <v>0.26</v>
      </c>
      <c r="O793" s="355">
        <f t="shared" si="93"/>
        <v>0.61</v>
      </c>
      <c r="P793" s="355">
        <v>0.34620000000000001</v>
      </c>
      <c r="Q793" s="355">
        <v>0.69640000000000002</v>
      </c>
      <c r="R793" s="355">
        <v>0.6</v>
      </c>
      <c r="S793" s="355">
        <v>0.61</v>
      </c>
    </row>
    <row r="794" spans="1:19">
      <c r="A794" s="19">
        <f t="shared" si="96"/>
        <v>61606</v>
      </c>
      <c r="B794" s="19">
        <f t="shared" si="95"/>
        <v>61970</v>
      </c>
      <c r="C794" s="86">
        <f t="shared" si="98"/>
        <v>0.26</v>
      </c>
      <c r="D794" s="86">
        <f t="shared" si="98"/>
        <v>0.27900000000000003</v>
      </c>
      <c r="E794" s="86">
        <f t="shared" si="98"/>
        <v>6.0999999999999999E-2</v>
      </c>
      <c r="F794" s="86">
        <f t="shared" si="98"/>
        <v>2.5999999999999999E-2</v>
      </c>
      <c r="G794" s="87">
        <v>0.26</v>
      </c>
      <c r="H794" s="87">
        <v>0.27900000000000003</v>
      </c>
      <c r="I794" s="87">
        <v>6.0999999999999999E-2</v>
      </c>
      <c r="J794" s="87">
        <v>2.5999999999999999E-2</v>
      </c>
      <c r="K794" s="25">
        <f>(L794*4)</f>
        <v>183570</v>
      </c>
      <c r="L794" s="95">
        <f>L782*1.05</f>
        <v>45892.42</v>
      </c>
      <c r="M794" s="82">
        <f t="shared" si="92"/>
        <v>0.6</v>
      </c>
      <c r="N794" s="82">
        <v>0.26</v>
      </c>
      <c r="O794" s="82">
        <f t="shared" si="93"/>
        <v>0.61</v>
      </c>
      <c r="P794" s="82">
        <v>0.34620000000000001</v>
      </c>
      <c r="Q794" s="82">
        <v>0.69640000000000002</v>
      </c>
      <c r="R794" s="82">
        <v>0.6</v>
      </c>
      <c r="S794" s="82">
        <v>0.61</v>
      </c>
    </row>
    <row r="795" spans="1:19">
      <c r="A795" s="19">
        <f t="shared" si="96"/>
        <v>61636</v>
      </c>
      <c r="B795" s="19">
        <f t="shared" si="95"/>
        <v>62000</v>
      </c>
      <c r="C795" s="86">
        <f>AVERAGE(G795:G805)</f>
        <v>0.26</v>
      </c>
      <c r="D795" s="86">
        <f>AVERAGE(H795:H805)</f>
        <v>0.27900000000000003</v>
      </c>
      <c r="E795" s="86">
        <f>AVERAGE(I795:I805)</f>
        <v>6.0999999999999999E-2</v>
      </c>
      <c r="F795" s="86">
        <f>AVERAGE(J795:J805)</f>
        <v>2.5999999999999999E-2</v>
      </c>
      <c r="G795" s="87">
        <v>0.26</v>
      </c>
      <c r="H795" s="87">
        <v>0.27900000000000003</v>
      </c>
      <c r="I795" s="87">
        <v>6.0999999999999999E-2</v>
      </c>
      <c r="J795" s="87">
        <v>2.5999999999999999E-2</v>
      </c>
      <c r="K795" s="25">
        <f>((11/3)*L794)+((1/3)*L806)</f>
        <v>184335</v>
      </c>
      <c r="L795" s="95"/>
      <c r="M795" s="82">
        <f t="shared" si="92"/>
        <v>0.6</v>
      </c>
      <c r="N795" s="82">
        <v>0.26</v>
      </c>
      <c r="O795" s="82">
        <f t="shared" si="93"/>
        <v>0.61</v>
      </c>
      <c r="P795" s="82">
        <v>0.34620000000000001</v>
      </c>
      <c r="Q795" s="82">
        <v>0.69640000000000002</v>
      </c>
      <c r="R795" s="82">
        <v>0.6</v>
      </c>
      <c r="S795" s="82">
        <v>0.61</v>
      </c>
    </row>
    <row r="796" spans="1:19">
      <c r="A796" s="19">
        <f t="shared" si="96"/>
        <v>61667</v>
      </c>
      <c r="B796" s="19">
        <f t="shared" si="95"/>
        <v>62031</v>
      </c>
      <c r="C796" s="86">
        <f>AVERAGE(G796:G805)</f>
        <v>0.26</v>
      </c>
      <c r="D796" s="86">
        <f>AVERAGE(H796:H805)</f>
        <v>0.27900000000000003</v>
      </c>
      <c r="E796" s="86">
        <f>AVERAGE(I796:I805)</f>
        <v>6.0999999999999999E-2</v>
      </c>
      <c r="F796" s="86">
        <f>AVERAGE(J796:J805)</f>
        <v>2.5999999999999999E-2</v>
      </c>
      <c r="G796" s="87">
        <v>0.26</v>
      </c>
      <c r="H796" s="87">
        <v>0.27900000000000003</v>
      </c>
      <c r="I796" s="87">
        <v>6.0999999999999999E-2</v>
      </c>
      <c r="J796" s="87">
        <v>2.5999999999999999E-2</v>
      </c>
      <c r="K796" s="25">
        <f>((10/3)*L794)+((2/3)*L806)</f>
        <v>185099</v>
      </c>
      <c r="L796" s="95"/>
      <c r="M796" s="82">
        <f t="shared" si="92"/>
        <v>0.6</v>
      </c>
      <c r="N796" s="82">
        <v>0.26</v>
      </c>
      <c r="O796" s="82">
        <f t="shared" si="93"/>
        <v>0.61</v>
      </c>
      <c r="P796" s="82">
        <v>0.34620000000000001</v>
      </c>
      <c r="Q796" s="82">
        <v>0.69640000000000002</v>
      </c>
      <c r="R796" s="82">
        <v>0.6</v>
      </c>
      <c r="S796" s="82">
        <v>0.61</v>
      </c>
    </row>
    <row r="797" spans="1:19">
      <c r="A797" s="19">
        <f t="shared" si="96"/>
        <v>61697</v>
      </c>
      <c r="B797" s="19">
        <f t="shared" si="95"/>
        <v>62061</v>
      </c>
      <c r="C797" s="86">
        <f>AVERAGE(G797:G805)</f>
        <v>0.26</v>
      </c>
      <c r="D797" s="86">
        <f>AVERAGE(H797:H805)</f>
        <v>0.27900000000000003</v>
      </c>
      <c r="E797" s="86">
        <f>AVERAGE(I797:I805)</f>
        <v>6.0999999999999999E-2</v>
      </c>
      <c r="F797" s="86">
        <f>AVERAGE(J797:J805)</f>
        <v>2.5999999999999999E-2</v>
      </c>
      <c r="G797" s="87">
        <v>0.26</v>
      </c>
      <c r="H797" s="87">
        <v>0.27900000000000003</v>
      </c>
      <c r="I797" s="87">
        <v>6.0999999999999999E-2</v>
      </c>
      <c r="J797" s="87">
        <v>2.5999999999999999E-2</v>
      </c>
      <c r="K797" s="25">
        <f>((9/3)*L794)+((3/3)*L806)</f>
        <v>185864</v>
      </c>
      <c r="L797" s="95"/>
      <c r="M797" s="82">
        <f t="shared" si="92"/>
        <v>0.6</v>
      </c>
      <c r="N797" s="82">
        <v>0.26</v>
      </c>
      <c r="O797" s="82">
        <f t="shared" si="93"/>
        <v>0.61</v>
      </c>
      <c r="P797" s="82">
        <v>0.34620000000000001</v>
      </c>
      <c r="Q797" s="82">
        <v>0.69640000000000002</v>
      </c>
      <c r="R797" s="82">
        <v>0.6</v>
      </c>
      <c r="S797" s="82">
        <v>0.61</v>
      </c>
    </row>
    <row r="798" spans="1:19">
      <c r="A798" s="19">
        <f t="shared" si="96"/>
        <v>61728</v>
      </c>
      <c r="B798" s="19">
        <f t="shared" si="95"/>
        <v>62092</v>
      </c>
      <c r="C798" s="86">
        <f>AVERAGE(G798:G805)</f>
        <v>0.26</v>
      </c>
      <c r="D798" s="86">
        <f>AVERAGE(H798:H805)</f>
        <v>0.27900000000000003</v>
      </c>
      <c r="E798" s="86">
        <f>AVERAGE(I798:I805)</f>
        <v>6.0999999999999999E-2</v>
      </c>
      <c r="F798" s="86">
        <f>AVERAGE(J798:J805)</f>
        <v>2.5999999999999999E-2</v>
      </c>
      <c r="G798" s="87">
        <v>0.26</v>
      </c>
      <c r="H798" s="87">
        <v>0.27900000000000003</v>
      </c>
      <c r="I798" s="87">
        <v>6.0999999999999999E-2</v>
      </c>
      <c r="J798" s="87">
        <v>2.5999999999999999E-2</v>
      </c>
      <c r="K798" s="25">
        <f>((8/3)*L794)+((4/3)*L806)</f>
        <v>186629</v>
      </c>
      <c r="L798" s="95"/>
      <c r="M798" s="82">
        <f t="shared" si="92"/>
        <v>0.6</v>
      </c>
      <c r="N798" s="82">
        <v>0.26</v>
      </c>
      <c r="O798" s="82">
        <f t="shared" si="93"/>
        <v>0.61</v>
      </c>
      <c r="P798" s="82">
        <v>0.34620000000000001</v>
      </c>
      <c r="Q798" s="82">
        <v>0.69640000000000002</v>
      </c>
      <c r="R798" s="82">
        <v>0.6</v>
      </c>
      <c r="S798" s="82">
        <v>0.61</v>
      </c>
    </row>
    <row r="799" spans="1:19">
      <c r="A799" s="19">
        <f t="shared" si="96"/>
        <v>61759</v>
      </c>
      <c r="B799" s="19">
        <f t="shared" si="95"/>
        <v>62123</v>
      </c>
      <c r="C799" s="86">
        <f>AVERAGE(G799:G805)</f>
        <v>0.26</v>
      </c>
      <c r="D799" s="86">
        <f>AVERAGE(H799:H805)</f>
        <v>0.27900000000000003</v>
      </c>
      <c r="E799" s="86">
        <f>AVERAGE(I799:I805)</f>
        <v>6.0999999999999999E-2</v>
      </c>
      <c r="F799" s="86">
        <f>AVERAGE(J799:J805)</f>
        <v>2.5999999999999999E-2</v>
      </c>
      <c r="G799" s="87">
        <v>0.26</v>
      </c>
      <c r="H799" s="87">
        <v>0.27900000000000003</v>
      </c>
      <c r="I799" s="87">
        <v>6.0999999999999999E-2</v>
      </c>
      <c r="J799" s="87">
        <v>2.5999999999999999E-2</v>
      </c>
      <c r="K799" s="25">
        <f>((7/3)*L794)+((5/3)*L806)</f>
        <v>187394</v>
      </c>
      <c r="L799" s="95"/>
      <c r="M799" s="82">
        <f t="shared" si="92"/>
        <v>0.6</v>
      </c>
      <c r="N799" s="82">
        <v>0.26</v>
      </c>
      <c r="O799" s="82">
        <f t="shared" si="93"/>
        <v>0.61</v>
      </c>
      <c r="P799" s="82">
        <v>0.34620000000000001</v>
      </c>
      <c r="Q799" s="82">
        <v>0.69640000000000002</v>
      </c>
      <c r="R799" s="82">
        <v>0.6</v>
      </c>
      <c r="S799" s="82">
        <v>0.61</v>
      </c>
    </row>
    <row r="800" spans="1:19">
      <c r="A800" s="19">
        <f t="shared" si="96"/>
        <v>61787</v>
      </c>
      <c r="B800" s="19">
        <f t="shared" si="95"/>
        <v>62151</v>
      </c>
      <c r="C800" s="86">
        <f>AVERAGE(G800:G805)</f>
        <v>0.26</v>
      </c>
      <c r="D800" s="86">
        <f>AVERAGE(H800:H805)</f>
        <v>0.27900000000000003</v>
      </c>
      <c r="E800" s="86">
        <f>AVERAGE(I800:I805)</f>
        <v>6.0999999999999999E-2</v>
      </c>
      <c r="F800" s="86">
        <f>AVERAGE(J800:J805)</f>
        <v>2.5999999999999999E-2</v>
      </c>
      <c r="G800" s="87">
        <v>0.26</v>
      </c>
      <c r="H800" s="87">
        <v>0.27900000000000003</v>
      </c>
      <c r="I800" s="87">
        <v>6.0999999999999999E-2</v>
      </c>
      <c r="J800" s="87">
        <v>2.5999999999999999E-2</v>
      </c>
      <c r="K800" s="25">
        <f>((6/3)*L794)+((6/3)*L806)</f>
        <v>188159</v>
      </c>
      <c r="L800" s="95"/>
      <c r="M800" s="82">
        <f t="shared" si="92"/>
        <v>0.6</v>
      </c>
      <c r="N800" s="82">
        <v>0.26</v>
      </c>
      <c r="O800" s="82">
        <f t="shared" si="93"/>
        <v>0.61</v>
      </c>
      <c r="P800" s="82">
        <v>0.34620000000000001</v>
      </c>
      <c r="Q800" s="82">
        <v>0.69640000000000002</v>
      </c>
      <c r="R800" s="82">
        <v>0.6</v>
      </c>
      <c r="S800" s="82">
        <v>0.61</v>
      </c>
    </row>
    <row r="801" spans="1:19">
      <c r="A801" s="19">
        <f t="shared" si="96"/>
        <v>61818</v>
      </c>
      <c r="B801" s="19">
        <f t="shared" si="95"/>
        <v>62182</v>
      </c>
      <c r="C801" s="86">
        <f>AVERAGE(G801:G805)</f>
        <v>0.26</v>
      </c>
      <c r="D801" s="86">
        <f>AVERAGE(H801:H805)</f>
        <v>0.27900000000000003</v>
      </c>
      <c r="E801" s="86">
        <f>AVERAGE(I801:I805)</f>
        <v>6.0999999999999999E-2</v>
      </c>
      <c r="F801" s="86">
        <f>AVERAGE(J801:J805)</f>
        <v>2.5999999999999999E-2</v>
      </c>
      <c r="G801" s="87">
        <v>0.26</v>
      </c>
      <c r="H801" s="87">
        <v>0.27900000000000003</v>
      </c>
      <c r="I801" s="87">
        <v>6.0999999999999999E-2</v>
      </c>
      <c r="J801" s="87">
        <v>2.5999999999999999E-2</v>
      </c>
      <c r="K801" s="25">
        <f>((5/3)*L794)+((7/3)*L806)</f>
        <v>188924</v>
      </c>
      <c r="L801" s="95"/>
      <c r="M801" s="82">
        <f t="shared" si="92"/>
        <v>0.6</v>
      </c>
      <c r="N801" s="82">
        <v>0.26</v>
      </c>
      <c r="O801" s="82">
        <f t="shared" si="93"/>
        <v>0.61</v>
      </c>
      <c r="P801" s="82">
        <v>0.34620000000000001</v>
      </c>
      <c r="Q801" s="82">
        <v>0.69640000000000002</v>
      </c>
      <c r="R801" s="82">
        <v>0.6</v>
      </c>
      <c r="S801" s="82">
        <v>0.61</v>
      </c>
    </row>
    <row r="802" spans="1:19">
      <c r="A802" s="19">
        <f t="shared" si="96"/>
        <v>61848</v>
      </c>
      <c r="B802" s="19">
        <f t="shared" si="95"/>
        <v>62212</v>
      </c>
      <c r="C802" s="86">
        <f>AVERAGE(G802:G805)</f>
        <v>0.26</v>
      </c>
      <c r="D802" s="86">
        <f>AVERAGE(H802:H805)</f>
        <v>0.27900000000000003</v>
      </c>
      <c r="E802" s="86">
        <f>AVERAGE(I802:I805)</f>
        <v>6.0999999999999999E-2</v>
      </c>
      <c r="F802" s="86">
        <f>AVERAGE(J802:J805)</f>
        <v>2.5999999999999999E-2</v>
      </c>
      <c r="G802" s="87">
        <v>0.26</v>
      </c>
      <c r="H802" s="87">
        <v>0.27900000000000003</v>
      </c>
      <c r="I802" s="87">
        <v>6.0999999999999999E-2</v>
      </c>
      <c r="J802" s="87">
        <v>2.5999999999999999E-2</v>
      </c>
      <c r="K802" s="25">
        <f>((4/3)*L794)+((8/3)*L806)</f>
        <v>189689</v>
      </c>
      <c r="L802" s="95"/>
      <c r="M802" s="82">
        <f t="shared" si="92"/>
        <v>0.6</v>
      </c>
      <c r="N802" s="82">
        <v>0.26</v>
      </c>
      <c r="O802" s="82">
        <f t="shared" si="93"/>
        <v>0.61</v>
      </c>
      <c r="P802" s="82">
        <v>0.34620000000000001</v>
      </c>
      <c r="Q802" s="82">
        <v>0.69640000000000002</v>
      </c>
      <c r="R802" s="82">
        <v>0.6</v>
      </c>
      <c r="S802" s="82">
        <v>0.61</v>
      </c>
    </row>
    <row r="803" spans="1:19">
      <c r="A803" s="19">
        <f t="shared" si="96"/>
        <v>61879</v>
      </c>
      <c r="B803" s="19">
        <f t="shared" si="95"/>
        <v>62243</v>
      </c>
      <c r="C803" s="86">
        <f>AVERAGE(G803:G805)</f>
        <v>0.26</v>
      </c>
      <c r="D803" s="86">
        <f>AVERAGE(H803:H805)</f>
        <v>0.27900000000000003</v>
      </c>
      <c r="E803" s="86">
        <f>AVERAGE(I803:I805)</f>
        <v>6.0999999999999999E-2</v>
      </c>
      <c r="F803" s="86">
        <f>AVERAGE(J803:J805)</f>
        <v>2.5999999999999999E-2</v>
      </c>
      <c r="G803" s="87">
        <v>0.26</v>
      </c>
      <c r="H803" s="87">
        <v>0.27900000000000003</v>
      </c>
      <c r="I803" s="87">
        <v>6.0999999999999999E-2</v>
      </c>
      <c r="J803" s="87">
        <v>2.5999999999999999E-2</v>
      </c>
      <c r="K803" s="25">
        <f>((3/3)*L794)+((9/3)*L806)</f>
        <v>190454</v>
      </c>
      <c r="L803" s="95"/>
      <c r="M803" s="82">
        <f t="shared" si="92"/>
        <v>0.6</v>
      </c>
      <c r="N803" s="82">
        <v>0.26</v>
      </c>
      <c r="O803" s="82">
        <f t="shared" si="93"/>
        <v>0.61</v>
      </c>
      <c r="P803" s="82">
        <v>0.34620000000000001</v>
      </c>
      <c r="Q803" s="82">
        <v>0.69640000000000002</v>
      </c>
      <c r="R803" s="82">
        <v>0.6</v>
      </c>
      <c r="S803" s="82">
        <v>0.61</v>
      </c>
    </row>
    <row r="804" spans="1:19">
      <c r="A804" s="19">
        <f t="shared" si="96"/>
        <v>61909</v>
      </c>
      <c r="B804" s="19">
        <f t="shared" si="95"/>
        <v>62273</v>
      </c>
      <c r="C804" s="86">
        <f>AVERAGE(G804:G805)</f>
        <v>0.26</v>
      </c>
      <c r="D804" s="86">
        <f>AVERAGE(H804:H805)</f>
        <v>0.27900000000000003</v>
      </c>
      <c r="E804" s="86">
        <f>AVERAGE(I804:I805)</f>
        <v>6.0999999999999999E-2</v>
      </c>
      <c r="F804" s="86">
        <f>AVERAGE(J804:J805)</f>
        <v>2.5999999999999999E-2</v>
      </c>
      <c r="G804" s="87">
        <v>0.26</v>
      </c>
      <c r="H804" s="87">
        <v>0.27900000000000003</v>
      </c>
      <c r="I804" s="87">
        <v>6.0999999999999999E-2</v>
      </c>
      <c r="J804" s="87">
        <v>2.5999999999999999E-2</v>
      </c>
      <c r="K804" s="25">
        <f>((2/3)*L794)+((10/3)*L806)</f>
        <v>191218</v>
      </c>
      <c r="L804" s="95"/>
      <c r="M804" s="82">
        <f t="shared" si="92"/>
        <v>0.6</v>
      </c>
      <c r="N804" s="82">
        <v>0.26</v>
      </c>
      <c r="O804" s="82">
        <f t="shared" si="93"/>
        <v>0.61</v>
      </c>
      <c r="P804" s="82">
        <v>0.34620000000000001</v>
      </c>
      <c r="Q804" s="82">
        <v>0.69640000000000002</v>
      </c>
      <c r="R804" s="82">
        <v>0.6</v>
      </c>
      <c r="S804" s="82">
        <v>0.61</v>
      </c>
    </row>
    <row r="805" spans="1:19">
      <c r="A805" s="19">
        <f t="shared" si="96"/>
        <v>61940</v>
      </c>
      <c r="B805" s="19">
        <f t="shared" si="95"/>
        <v>62304</v>
      </c>
      <c r="C805" s="86">
        <f>AVERAGE(G805:G805)</f>
        <v>0.26</v>
      </c>
      <c r="D805" s="86">
        <f>AVERAGE(H805:H805)</f>
        <v>0.27900000000000003</v>
      </c>
      <c r="E805" s="86">
        <f>AVERAGE(I805:I805)</f>
        <v>6.0999999999999999E-2</v>
      </c>
      <c r="F805" s="86">
        <f>AVERAGE(J805:J805)</f>
        <v>2.5999999999999999E-2</v>
      </c>
      <c r="G805" s="87">
        <v>0.26</v>
      </c>
      <c r="H805" s="87">
        <v>0.27900000000000003</v>
      </c>
      <c r="I805" s="87">
        <v>6.0999999999999999E-2</v>
      </c>
      <c r="J805" s="87">
        <v>2.5999999999999999E-2</v>
      </c>
      <c r="K805" s="25">
        <f>((1/3)*L794)+((11/3)*L806)</f>
        <v>191983</v>
      </c>
      <c r="L805" s="95"/>
      <c r="M805" s="82">
        <f t="shared" si="92"/>
        <v>0.6</v>
      </c>
      <c r="N805" s="82">
        <v>0.26</v>
      </c>
      <c r="O805" s="82">
        <f t="shared" si="93"/>
        <v>0.61</v>
      </c>
      <c r="P805" s="82">
        <v>0.34620000000000001</v>
      </c>
      <c r="Q805" s="82">
        <v>0.69640000000000002</v>
      </c>
      <c r="R805" s="82">
        <v>0.6</v>
      </c>
      <c r="S805" s="82">
        <v>0.61</v>
      </c>
    </row>
    <row r="806" spans="1:19">
      <c r="C806" s="87"/>
      <c r="D806" s="87"/>
      <c r="E806" s="87"/>
      <c r="F806" s="87"/>
      <c r="L806" s="95">
        <f>L794*1.05</f>
        <v>48187.040000000001</v>
      </c>
      <c r="M806" s="82"/>
      <c r="N806" s="82"/>
      <c r="O806" s="82"/>
      <c r="P806" s="82"/>
      <c r="Q806" s="355">
        <v>0.69640000000000002</v>
      </c>
      <c r="R806" s="355">
        <v>0.6</v>
      </c>
      <c r="S806" s="355">
        <v>0.61</v>
      </c>
    </row>
    <row r="807" spans="1:19">
      <c r="C807" s="87"/>
      <c r="D807" s="87"/>
      <c r="E807" s="87"/>
      <c r="F807" s="87"/>
      <c r="L807" s="95"/>
      <c r="M807" s="82"/>
      <c r="N807" s="82"/>
      <c r="O807" s="82"/>
      <c r="P807" s="82"/>
      <c r="Q807" s="355">
        <v>0.69640000000000002</v>
      </c>
      <c r="R807" s="355">
        <v>0.6</v>
      </c>
      <c r="S807" s="355">
        <v>0.61</v>
      </c>
    </row>
    <row r="808" spans="1:19">
      <c r="C808" s="87"/>
      <c r="D808" s="87"/>
      <c r="E808" s="87"/>
      <c r="F808" s="87"/>
      <c r="L808" s="95"/>
      <c r="M808" s="82"/>
      <c r="N808" s="82"/>
      <c r="O808" s="82"/>
      <c r="P808" s="82"/>
      <c r="Q808" s="355">
        <v>0.69640000000000002</v>
      </c>
      <c r="R808" s="355">
        <v>0.6</v>
      </c>
      <c r="S808" s="355">
        <v>0.61</v>
      </c>
    </row>
    <row r="809" spans="1:19">
      <c r="C809" s="87"/>
      <c r="D809" s="87"/>
      <c r="E809" s="87"/>
      <c r="F809" s="87"/>
      <c r="L809" s="95"/>
      <c r="M809" s="82"/>
      <c r="N809" s="82"/>
      <c r="O809" s="82"/>
      <c r="P809" s="82"/>
      <c r="Q809" s="355">
        <v>0.69640000000000002</v>
      </c>
      <c r="R809" s="355">
        <v>0.6</v>
      </c>
      <c r="S809" s="355">
        <v>0.61</v>
      </c>
    </row>
    <row r="810" spans="1:19">
      <c r="C810" s="87"/>
      <c r="D810" s="87"/>
      <c r="E810" s="87"/>
      <c r="F810" s="87"/>
      <c r="L810" s="95"/>
      <c r="M810" s="82"/>
      <c r="N810" s="82"/>
      <c r="O810" s="82"/>
      <c r="P810" s="82"/>
      <c r="Q810" s="355">
        <v>0.69640000000000002</v>
      </c>
      <c r="R810" s="355">
        <v>0.6</v>
      </c>
      <c r="S810" s="355">
        <v>0.61</v>
      </c>
    </row>
    <row r="811" spans="1:19">
      <c r="C811" s="87"/>
      <c r="D811" s="87"/>
      <c r="E811" s="87"/>
      <c r="F811" s="87"/>
      <c r="L811" s="95"/>
      <c r="M811" s="82"/>
      <c r="N811" s="82"/>
      <c r="O811" s="82"/>
      <c r="P811" s="82"/>
      <c r="Q811" s="355">
        <v>0.69640000000000002</v>
      </c>
      <c r="R811" s="355">
        <v>0.6</v>
      </c>
      <c r="S811" s="355">
        <v>0.61</v>
      </c>
    </row>
    <row r="812" spans="1:19">
      <c r="C812" s="87"/>
      <c r="D812" s="87"/>
      <c r="E812" s="87"/>
      <c r="F812" s="87"/>
      <c r="L812" s="95"/>
      <c r="M812" s="82"/>
      <c r="N812" s="82"/>
      <c r="O812" s="82"/>
      <c r="P812" s="82"/>
      <c r="Q812" s="355">
        <v>0.69640000000000002</v>
      </c>
      <c r="R812" s="355">
        <v>0.6</v>
      </c>
      <c r="S812" s="355">
        <v>0.61</v>
      </c>
    </row>
    <row r="813" spans="1:19">
      <c r="C813" s="87"/>
      <c r="D813" s="87"/>
      <c r="E813" s="87"/>
      <c r="F813" s="87"/>
      <c r="L813" s="95"/>
      <c r="M813" s="82"/>
      <c r="N813" s="82"/>
      <c r="O813" s="82"/>
      <c r="P813" s="82"/>
      <c r="Q813" s="355">
        <v>0.69640000000000002</v>
      </c>
      <c r="R813" s="355">
        <v>0.6</v>
      </c>
      <c r="S813" s="355">
        <v>0.61</v>
      </c>
    </row>
    <row r="814" spans="1:19">
      <c r="C814" s="87"/>
      <c r="D814" s="87"/>
      <c r="E814" s="87"/>
      <c r="F814" s="87"/>
      <c r="L814" s="95"/>
      <c r="M814" s="82"/>
      <c r="N814" s="82"/>
      <c r="O814" s="82"/>
      <c r="P814" s="82"/>
      <c r="Q814" s="355">
        <v>0.69640000000000002</v>
      </c>
      <c r="R814" s="355">
        <v>0.6</v>
      </c>
      <c r="S814" s="355">
        <v>0.61</v>
      </c>
    </row>
    <row r="815" spans="1:19">
      <c r="C815" s="87"/>
      <c r="D815" s="87"/>
      <c r="E815" s="87"/>
      <c r="F815" s="87"/>
      <c r="L815" s="95"/>
      <c r="M815" s="82"/>
      <c r="N815" s="82"/>
      <c r="O815" s="82"/>
      <c r="P815" s="82"/>
      <c r="Q815" s="355">
        <v>0.69640000000000002</v>
      </c>
      <c r="R815" s="355">
        <v>0.6</v>
      </c>
      <c r="S815" s="355">
        <v>0.61</v>
      </c>
    </row>
    <row r="816" spans="1:19">
      <c r="C816" s="87"/>
      <c r="D816" s="87"/>
      <c r="E816" s="87"/>
      <c r="F816" s="87"/>
      <c r="L816" s="95"/>
      <c r="M816" s="82"/>
      <c r="N816" s="82"/>
      <c r="O816" s="82"/>
      <c r="P816" s="82"/>
      <c r="Q816" s="355">
        <v>0.69640000000000002</v>
      </c>
      <c r="R816" s="355">
        <v>0.6</v>
      </c>
      <c r="S816" s="355">
        <v>0.61</v>
      </c>
    </row>
    <row r="817" spans="3:19">
      <c r="C817" s="87"/>
      <c r="D817" s="87"/>
      <c r="E817" s="87"/>
      <c r="F817" s="87"/>
      <c r="L817" s="95"/>
      <c r="M817" s="82"/>
      <c r="N817" s="82"/>
      <c r="O817" s="82"/>
      <c r="P817" s="82"/>
      <c r="Q817" s="355">
        <v>0.69640000000000002</v>
      </c>
      <c r="R817" s="355">
        <v>0.6</v>
      </c>
      <c r="S817" s="355">
        <v>0.61</v>
      </c>
    </row>
  </sheetData>
  <phoneticPr fontId="0" type="noConversion"/>
  <pageMargins left="0.25" right="0.25" top="0.25" bottom="0.25" header="0.25" footer="0.25"/>
  <pageSetup scale="61" fitToHeight="0" orientation="portrait" r:id="rId1"/>
  <headerFooter alignWithMargins="0"/>
  <legacy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9">
    <pageSetUpPr fitToPage="1"/>
  </sheetPr>
  <dimension ref="A1:O67"/>
  <sheetViews>
    <sheetView workbookViewId="0">
      <selection sqref="A1:I1"/>
    </sheetView>
  </sheetViews>
  <sheetFormatPr defaultRowHeight="12.75"/>
  <cols>
    <col min="1" max="9" width="9.85546875" customWidth="1"/>
  </cols>
  <sheetData>
    <row r="1" spans="1:15">
      <c r="A1" s="1006" t="s">
        <v>176</v>
      </c>
      <c r="B1" s="1006"/>
      <c r="C1" s="1006"/>
      <c r="D1" s="1006"/>
      <c r="E1" s="1006"/>
      <c r="F1" s="1006"/>
      <c r="G1" s="1006"/>
      <c r="H1" s="1006"/>
      <c r="I1" s="1006"/>
      <c r="M1" s="1003" t="s">
        <v>414</v>
      </c>
      <c r="N1" s="1003"/>
      <c r="O1" t="s">
        <v>900</v>
      </c>
    </row>
    <row r="2" spans="1:15">
      <c r="A2" s="1003"/>
      <c r="B2" s="1003"/>
      <c r="C2" s="1003"/>
      <c r="D2" s="1003"/>
      <c r="E2" s="1003"/>
      <c r="F2" s="1003"/>
      <c r="G2" s="1003"/>
      <c r="H2" s="1003"/>
      <c r="I2" s="1003"/>
    </row>
    <row r="3" spans="1:15">
      <c r="A3" s="1006" t="s">
        <v>172</v>
      </c>
      <c r="B3" s="1006"/>
      <c r="C3" s="1006"/>
      <c r="D3" s="1006"/>
      <c r="E3" s="1006"/>
      <c r="F3" s="1006"/>
      <c r="G3" s="1006"/>
      <c r="H3" s="1006"/>
      <c r="I3" s="1006"/>
      <c r="M3" t="s">
        <v>284</v>
      </c>
      <c r="N3" t="s">
        <v>415</v>
      </c>
      <c r="O3">
        <v>3</v>
      </c>
    </row>
    <row r="4" spans="1:15" ht="25.5" customHeight="1">
      <c r="A4" s="1004" t="s">
        <v>175</v>
      </c>
      <c r="B4" s="1005"/>
      <c r="C4" s="1005"/>
      <c r="D4" s="1005"/>
      <c r="E4" s="1005"/>
      <c r="F4" s="1005"/>
      <c r="G4" s="1005"/>
      <c r="H4" s="1005"/>
      <c r="I4" s="1005"/>
      <c r="M4" t="s">
        <v>416</v>
      </c>
      <c r="N4" t="s">
        <v>416</v>
      </c>
      <c r="O4">
        <v>9</v>
      </c>
    </row>
    <row r="5" spans="1:15">
      <c r="A5" s="1003"/>
      <c r="B5" s="1003"/>
      <c r="C5" s="1003"/>
      <c r="D5" s="1003"/>
      <c r="E5" s="1003"/>
      <c r="F5" s="1003"/>
      <c r="G5" s="1003"/>
      <c r="H5" s="1003"/>
      <c r="I5" s="1003"/>
      <c r="M5" t="s">
        <v>417</v>
      </c>
      <c r="N5" t="s">
        <v>417</v>
      </c>
      <c r="O5">
        <v>10</v>
      </c>
    </row>
    <row r="6" spans="1:15" ht="38.25" customHeight="1">
      <c r="A6" s="1005" t="s">
        <v>863</v>
      </c>
      <c r="B6" s="1005"/>
      <c r="C6" s="1005"/>
      <c r="D6" s="1005"/>
      <c r="E6" s="1005"/>
      <c r="F6" s="1005"/>
      <c r="G6" s="1005"/>
      <c r="H6" s="1005"/>
      <c r="I6" s="1005"/>
      <c r="M6" t="s">
        <v>418</v>
      </c>
      <c r="N6" t="s">
        <v>419</v>
      </c>
      <c r="O6">
        <v>11</v>
      </c>
    </row>
    <row r="7" spans="1:15">
      <c r="A7" s="1003"/>
      <c r="B7" s="1003"/>
      <c r="C7" s="1003"/>
      <c r="D7" s="1003"/>
      <c r="E7" s="1003"/>
      <c r="F7" s="1003"/>
      <c r="G7" s="1003"/>
      <c r="H7" s="1003"/>
      <c r="I7" s="1003"/>
      <c r="M7" t="s">
        <v>419</v>
      </c>
      <c r="N7" t="s">
        <v>420</v>
      </c>
      <c r="O7">
        <v>12</v>
      </c>
    </row>
    <row r="8" spans="1:15" ht="38.25" customHeight="1">
      <c r="A8" s="1005" t="s">
        <v>903</v>
      </c>
      <c r="B8" s="1005"/>
      <c r="C8" s="1005"/>
      <c r="D8" s="1005"/>
      <c r="E8" s="1005"/>
      <c r="F8" s="1005"/>
      <c r="G8" s="1005"/>
      <c r="H8" s="1005"/>
      <c r="I8" s="1005"/>
      <c r="M8" t="s">
        <v>420</v>
      </c>
    </row>
    <row r="9" spans="1:15">
      <c r="A9" s="1003"/>
      <c r="B9" s="1003"/>
      <c r="C9" s="1003"/>
      <c r="D9" s="1003"/>
      <c r="E9" s="1003"/>
      <c r="F9" s="1003"/>
      <c r="G9" s="1003"/>
      <c r="H9" s="1003"/>
      <c r="I9" s="1003"/>
    </row>
    <row r="10" spans="1:15" ht="25.5" customHeight="1">
      <c r="A10" s="1004" t="s">
        <v>466</v>
      </c>
      <c r="B10" s="1005"/>
      <c r="C10" s="1005"/>
      <c r="D10" s="1005"/>
      <c r="E10" s="1005"/>
      <c r="F10" s="1005"/>
      <c r="G10" s="1005"/>
      <c r="H10" s="1005"/>
      <c r="I10" s="1005"/>
    </row>
    <row r="11" spans="1:15">
      <c r="A11" s="1003"/>
      <c r="B11" s="1003"/>
      <c r="C11" s="1003"/>
      <c r="D11" s="1003"/>
      <c r="E11" s="1003"/>
      <c r="F11" s="1003"/>
      <c r="G11" s="1003"/>
      <c r="H11" s="1003"/>
      <c r="I11" s="1003"/>
    </row>
    <row r="12" spans="1:15" ht="25.5" customHeight="1">
      <c r="A12" s="1004" t="s">
        <v>590</v>
      </c>
      <c r="B12" s="1005"/>
      <c r="C12" s="1005"/>
      <c r="D12" s="1005"/>
      <c r="E12" s="1005"/>
      <c r="F12" s="1005"/>
      <c r="G12" s="1005"/>
      <c r="H12" s="1005"/>
      <c r="I12" s="1005"/>
    </row>
    <row r="13" spans="1:15" ht="12.75" customHeight="1">
      <c r="A13" s="1004"/>
      <c r="B13" s="1005"/>
      <c r="C13" s="1005"/>
      <c r="D13" s="1005"/>
      <c r="E13" s="1005"/>
      <c r="F13" s="1005"/>
      <c r="G13" s="1005"/>
      <c r="H13" s="1005"/>
      <c r="I13" s="1005"/>
    </row>
    <row r="14" spans="1:15" ht="25.5" customHeight="1">
      <c r="A14" s="1005" t="s">
        <v>169</v>
      </c>
      <c r="B14" s="1005"/>
      <c r="C14" s="1005"/>
      <c r="D14" s="1005"/>
      <c r="E14" s="1005"/>
      <c r="F14" s="1005"/>
      <c r="G14" s="1005"/>
      <c r="H14" s="1005"/>
      <c r="I14" s="1005"/>
    </row>
    <row r="15" spans="1:15" ht="12.75" customHeight="1">
      <c r="A15" s="1003"/>
      <c r="B15" s="1003"/>
      <c r="C15" s="1003"/>
      <c r="D15" s="1003"/>
      <c r="E15" s="1003"/>
      <c r="F15" s="1003"/>
      <c r="G15" s="1003"/>
      <c r="H15" s="1003"/>
      <c r="I15" s="1003"/>
    </row>
    <row r="16" spans="1:15" ht="25.5" customHeight="1">
      <c r="A16" s="1004" t="s">
        <v>876</v>
      </c>
      <c r="B16" s="1005"/>
      <c r="C16" s="1005"/>
      <c r="D16" s="1005"/>
      <c r="E16" s="1005"/>
      <c r="F16" s="1005"/>
      <c r="G16" s="1005"/>
      <c r="H16" s="1005"/>
      <c r="I16" s="1005"/>
    </row>
    <row r="17" spans="1:9">
      <c r="A17" s="1003"/>
      <c r="B17" s="1003"/>
      <c r="C17" s="1003"/>
      <c r="D17" s="1003"/>
      <c r="E17" s="1003"/>
      <c r="F17" s="1003"/>
      <c r="G17" s="1003"/>
      <c r="H17" s="1003"/>
      <c r="I17" s="1003"/>
    </row>
    <row r="18" spans="1:9" ht="25.5" customHeight="1">
      <c r="A18" s="1005" t="s">
        <v>170</v>
      </c>
      <c r="B18" s="1005"/>
      <c r="C18" s="1005"/>
      <c r="D18" s="1005"/>
      <c r="E18" s="1005"/>
      <c r="F18" s="1005"/>
      <c r="G18" s="1005"/>
      <c r="H18" s="1005"/>
      <c r="I18" s="1005"/>
    </row>
    <row r="19" spans="1:9">
      <c r="A19" s="1003"/>
      <c r="B19" s="1003"/>
      <c r="C19" s="1003"/>
      <c r="D19" s="1003"/>
      <c r="E19" s="1003"/>
      <c r="F19" s="1003"/>
      <c r="G19" s="1003"/>
      <c r="H19" s="1003"/>
      <c r="I19" s="1003"/>
    </row>
    <row r="20" spans="1:9">
      <c r="A20" s="1006" t="s">
        <v>173</v>
      </c>
      <c r="B20" s="1006"/>
      <c r="C20" s="1006"/>
      <c r="D20" s="1006"/>
      <c r="E20" s="1006"/>
      <c r="F20" s="1006"/>
      <c r="G20" s="1006"/>
      <c r="H20" s="1006"/>
      <c r="I20" s="1006"/>
    </row>
    <row r="21" spans="1:9">
      <c r="A21" s="1004" t="s">
        <v>183</v>
      </c>
      <c r="B21" s="1005"/>
      <c r="C21" s="1005"/>
      <c r="D21" s="1005"/>
      <c r="E21" s="1005"/>
      <c r="F21" s="1005"/>
      <c r="G21" s="1005"/>
      <c r="H21" s="1005"/>
      <c r="I21" s="1005"/>
    </row>
    <row r="22" spans="1:9">
      <c r="A22" s="1003"/>
      <c r="B22" s="1003"/>
      <c r="C22" s="1003"/>
      <c r="D22" s="1003"/>
      <c r="E22" s="1003"/>
      <c r="F22" s="1003"/>
      <c r="G22" s="1003"/>
      <c r="H22" s="1003"/>
      <c r="I22" s="1003"/>
    </row>
    <row r="23" spans="1:9">
      <c r="A23" s="1006" t="s">
        <v>174</v>
      </c>
      <c r="B23" s="1006"/>
      <c r="C23" s="1006"/>
      <c r="D23" s="1006"/>
      <c r="E23" s="1006"/>
      <c r="F23" s="1006"/>
      <c r="G23" s="1006"/>
      <c r="H23" s="1006"/>
      <c r="I23" s="1006"/>
    </row>
    <row r="24" spans="1:9" ht="38.25" customHeight="1">
      <c r="A24" s="1004" t="s">
        <v>184</v>
      </c>
      <c r="B24" s="1005"/>
      <c r="C24" s="1005"/>
      <c r="D24" s="1005"/>
      <c r="E24" s="1005"/>
      <c r="F24" s="1005"/>
      <c r="G24" s="1005"/>
      <c r="H24" s="1005"/>
      <c r="I24" s="1005"/>
    </row>
    <row r="25" spans="1:9">
      <c r="A25" s="1003"/>
      <c r="B25" s="1003"/>
      <c r="C25" s="1003"/>
      <c r="D25" s="1003"/>
      <c r="E25" s="1003"/>
      <c r="F25" s="1003"/>
      <c r="G25" s="1003"/>
      <c r="H25" s="1003"/>
      <c r="I25" s="1003"/>
    </row>
    <row r="26" spans="1:9">
      <c r="A26" s="1004" t="s">
        <v>825</v>
      </c>
      <c r="B26" s="1005"/>
      <c r="C26" s="1005"/>
      <c r="D26" s="1005"/>
      <c r="E26" s="1005"/>
      <c r="F26" s="1005"/>
      <c r="G26" s="1005"/>
      <c r="H26" s="1005"/>
      <c r="I26" s="1005"/>
    </row>
    <row r="27" spans="1:9">
      <c r="A27" s="1003"/>
      <c r="B27" s="1003"/>
      <c r="C27" s="1003"/>
      <c r="D27" s="1003"/>
      <c r="E27" s="1003"/>
      <c r="F27" s="1003"/>
      <c r="G27" s="1003"/>
      <c r="H27" s="1003"/>
      <c r="I27" s="1003"/>
    </row>
    <row r="28" spans="1:9">
      <c r="A28" s="1006" t="s">
        <v>0</v>
      </c>
      <c r="B28" s="1006"/>
      <c r="C28" s="1006"/>
      <c r="D28" s="1006"/>
      <c r="E28" s="1006"/>
      <c r="F28" s="1006"/>
      <c r="G28" s="1006"/>
      <c r="H28" s="1006"/>
      <c r="I28" s="1006"/>
    </row>
    <row r="29" spans="1:9" ht="25.5" customHeight="1">
      <c r="A29" s="1004" t="s">
        <v>591</v>
      </c>
      <c r="B29" s="1005"/>
      <c r="C29" s="1005"/>
      <c r="D29" s="1005"/>
      <c r="E29" s="1005"/>
      <c r="F29" s="1005"/>
      <c r="G29" s="1005"/>
      <c r="H29" s="1005"/>
      <c r="I29" s="1005"/>
    </row>
    <row r="30" spans="1:9">
      <c r="A30" s="1003"/>
      <c r="B30" s="1003"/>
      <c r="C30" s="1003"/>
      <c r="D30" s="1003"/>
      <c r="E30" s="1003"/>
      <c r="F30" s="1003"/>
      <c r="G30" s="1003"/>
      <c r="H30" s="1003"/>
      <c r="I30" s="1003"/>
    </row>
    <row r="31" spans="1:9">
      <c r="A31" s="1005" t="s">
        <v>871</v>
      </c>
      <c r="B31" s="1005"/>
      <c r="C31" s="1005"/>
      <c r="D31" s="1005"/>
      <c r="E31" s="1005"/>
      <c r="F31" s="1005"/>
      <c r="G31" s="1005"/>
      <c r="H31" s="1005"/>
      <c r="I31" s="1005"/>
    </row>
    <row r="32" spans="1:9">
      <c r="A32" s="1003"/>
      <c r="B32" s="1003"/>
      <c r="C32" s="1003"/>
      <c r="D32" s="1003"/>
      <c r="E32" s="1003"/>
      <c r="F32" s="1003"/>
      <c r="G32" s="1003"/>
      <c r="H32" s="1003"/>
      <c r="I32" s="1003"/>
    </row>
    <row r="33" spans="1:9" ht="25.5" customHeight="1">
      <c r="A33" s="1004" t="s">
        <v>185</v>
      </c>
      <c r="B33" s="1005"/>
      <c r="C33" s="1005"/>
      <c r="D33" s="1005"/>
      <c r="E33" s="1005"/>
      <c r="F33" s="1005"/>
      <c r="G33" s="1005"/>
      <c r="H33" s="1005"/>
      <c r="I33" s="1005"/>
    </row>
    <row r="34" spans="1:9">
      <c r="A34" s="1003"/>
      <c r="B34" s="1003"/>
      <c r="C34" s="1003"/>
      <c r="D34" s="1003"/>
      <c r="E34" s="1003"/>
      <c r="F34" s="1003"/>
      <c r="G34" s="1003"/>
      <c r="H34" s="1003"/>
      <c r="I34" s="1003"/>
    </row>
    <row r="35" spans="1:9" ht="25.5" customHeight="1">
      <c r="A35" s="1004" t="s">
        <v>592</v>
      </c>
      <c r="B35" s="1005"/>
      <c r="C35" s="1005"/>
      <c r="D35" s="1005"/>
      <c r="E35" s="1005"/>
      <c r="F35" s="1005"/>
      <c r="G35" s="1005"/>
      <c r="H35" s="1005"/>
      <c r="I35" s="1005"/>
    </row>
    <row r="36" spans="1:9">
      <c r="A36" s="1003"/>
      <c r="B36" s="1003"/>
      <c r="C36" s="1003"/>
      <c r="D36" s="1003"/>
      <c r="E36" s="1003"/>
      <c r="F36" s="1003"/>
      <c r="G36" s="1003"/>
      <c r="H36" s="1003"/>
      <c r="I36" s="1003"/>
    </row>
    <row r="37" spans="1:9" ht="37.5" customHeight="1">
      <c r="A37" s="1005" t="s">
        <v>889</v>
      </c>
      <c r="B37" s="1005"/>
      <c r="C37" s="1005"/>
      <c r="D37" s="1005"/>
      <c r="E37" s="1005"/>
      <c r="F37" s="1005"/>
      <c r="G37" s="1005"/>
      <c r="H37" s="1005"/>
      <c r="I37" s="1005"/>
    </row>
    <row r="38" spans="1:9">
      <c r="A38" s="1003"/>
      <c r="B38" s="1003"/>
      <c r="C38" s="1003"/>
      <c r="D38" s="1003"/>
      <c r="E38" s="1003"/>
      <c r="F38" s="1003"/>
      <c r="G38" s="1003"/>
      <c r="H38" s="1003"/>
      <c r="I38" s="1003"/>
    </row>
    <row r="39" spans="1:9" ht="25.5" customHeight="1">
      <c r="A39" s="1005" t="s">
        <v>171</v>
      </c>
      <c r="B39" s="1005"/>
      <c r="C39" s="1005"/>
      <c r="D39" s="1005"/>
      <c r="E39" s="1005"/>
      <c r="F39" s="1005"/>
      <c r="G39" s="1005"/>
      <c r="H39" s="1005"/>
      <c r="I39" s="1005"/>
    </row>
    <row r="40" spans="1:9">
      <c r="A40" s="1003"/>
      <c r="B40" s="1003"/>
      <c r="C40" s="1003"/>
      <c r="D40" s="1003"/>
      <c r="E40" s="1003"/>
      <c r="F40" s="1003"/>
      <c r="G40" s="1003"/>
      <c r="H40" s="1003"/>
      <c r="I40" s="1003"/>
    </row>
    <row r="41" spans="1:9">
      <c r="A41" s="1006" t="s">
        <v>177</v>
      </c>
      <c r="B41" s="1006"/>
      <c r="C41" s="1006"/>
      <c r="D41" s="1006"/>
      <c r="E41" s="1006"/>
      <c r="F41" s="1006"/>
      <c r="G41" s="1006"/>
      <c r="H41" s="1006"/>
      <c r="I41" s="1006"/>
    </row>
    <row r="42" spans="1:9" ht="25.5" customHeight="1">
      <c r="A42" s="1004" t="s">
        <v>178</v>
      </c>
      <c r="B42" s="1005"/>
      <c r="C42" s="1005"/>
      <c r="D42" s="1005"/>
      <c r="E42" s="1005"/>
      <c r="F42" s="1005"/>
      <c r="G42" s="1005"/>
      <c r="H42" s="1005"/>
      <c r="I42" s="1005"/>
    </row>
    <row r="43" spans="1:9">
      <c r="A43" s="1003"/>
      <c r="B43" s="1003"/>
      <c r="C43" s="1003"/>
      <c r="D43" s="1003"/>
      <c r="E43" s="1003"/>
      <c r="F43" s="1003"/>
      <c r="G43" s="1003"/>
      <c r="H43" s="1003"/>
      <c r="I43" s="1003"/>
    </row>
    <row r="44" spans="1:9">
      <c r="A44" s="1005" t="s">
        <v>179</v>
      </c>
      <c r="B44" s="1005"/>
      <c r="C44" s="1005"/>
      <c r="D44" s="1005"/>
      <c r="E44" s="1005"/>
      <c r="F44" s="1005"/>
      <c r="G44" s="1005"/>
      <c r="H44" s="1005"/>
      <c r="I44" s="1005"/>
    </row>
    <row r="45" spans="1:9">
      <c r="A45" s="1003"/>
      <c r="B45" s="1003"/>
      <c r="C45" s="1003"/>
      <c r="D45" s="1003"/>
      <c r="E45" s="1003"/>
      <c r="F45" s="1003"/>
      <c r="G45" s="1003"/>
      <c r="H45" s="1003"/>
      <c r="I45" s="1003"/>
    </row>
    <row r="46" spans="1:9">
      <c r="A46" s="1006" t="s">
        <v>180</v>
      </c>
      <c r="B46" s="1006"/>
      <c r="C46" s="1006"/>
      <c r="D46" s="1006"/>
      <c r="E46" s="1006"/>
      <c r="F46" s="1006"/>
      <c r="G46" s="1006"/>
      <c r="H46" s="1006"/>
      <c r="I46" s="1006"/>
    </row>
    <row r="47" spans="1:9">
      <c r="A47" s="1004" t="s">
        <v>181</v>
      </c>
      <c r="B47" s="1005"/>
      <c r="C47" s="1005"/>
      <c r="D47" s="1005"/>
      <c r="E47" s="1005"/>
      <c r="F47" s="1005"/>
      <c r="G47" s="1005"/>
      <c r="H47" s="1005"/>
      <c r="I47" s="1005"/>
    </row>
    <row r="48" spans="1:9">
      <c r="A48" s="1004" t="s">
        <v>593</v>
      </c>
      <c r="B48" s="1005"/>
      <c r="C48" s="1005"/>
      <c r="D48" s="1005"/>
      <c r="E48" s="1005"/>
      <c r="F48" s="1005"/>
      <c r="G48" s="1005"/>
      <c r="H48" s="1005"/>
      <c r="I48" s="1005"/>
    </row>
    <row r="49" spans="1:9">
      <c r="A49" s="1004" t="s">
        <v>594</v>
      </c>
      <c r="B49" s="1005"/>
      <c r="C49" s="1005"/>
      <c r="D49" s="1005"/>
      <c r="E49" s="1005"/>
      <c r="F49" s="1005"/>
      <c r="G49" s="1005"/>
      <c r="H49" s="1005"/>
      <c r="I49" s="1005"/>
    </row>
    <row r="50" spans="1:9">
      <c r="A50" s="1003"/>
      <c r="B50" s="1003"/>
      <c r="C50" s="1003"/>
      <c r="D50" s="1003"/>
      <c r="E50" s="1003"/>
      <c r="F50" s="1003"/>
      <c r="G50" s="1003"/>
      <c r="H50" s="1003"/>
      <c r="I50" s="1003"/>
    </row>
    <row r="51" spans="1:9">
      <c r="A51" s="1004" t="s">
        <v>181</v>
      </c>
      <c r="B51" s="1005"/>
      <c r="C51" s="1005"/>
      <c r="D51" s="1005"/>
      <c r="E51" s="1005"/>
      <c r="F51" s="1005"/>
      <c r="G51" s="1005"/>
      <c r="H51" s="1005"/>
      <c r="I51" s="1005"/>
    </row>
    <row r="52" spans="1:9">
      <c r="A52" s="1004" t="s">
        <v>597</v>
      </c>
      <c r="B52" s="1005"/>
      <c r="C52" s="1005"/>
      <c r="D52" s="1005"/>
      <c r="E52" s="1005"/>
      <c r="F52" s="1005"/>
      <c r="G52" s="1005"/>
      <c r="H52" s="1005"/>
      <c r="I52" s="1005"/>
    </row>
    <row r="53" spans="1:9">
      <c r="A53" s="1004" t="s">
        <v>604</v>
      </c>
      <c r="B53" s="1005"/>
      <c r="C53" s="1005"/>
      <c r="D53" s="1005"/>
      <c r="E53" s="1005"/>
      <c r="F53" s="1005"/>
      <c r="G53" s="1005"/>
      <c r="H53" s="1005"/>
      <c r="I53" s="1005"/>
    </row>
    <row r="54" spans="1:9">
      <c r="A54" s="1003"/>
      <c r="B54" s="1003"/>
      <c r="C54" s="1003"/>
      <c r="D54" s="1003"/>
      <c r="E54" s="1003"/>
      <c r="F54" s="1003"/>
      <c r="G54" s="1003"/>
      <c r="H54" s="1003"/>
      <c r="I54" s="1003"/>
    </row>
    <row r="55" spans="1:9">
      <c r="A55" s="1004" t="s">
        <v>182</v>
      </c>
      <c r="B55" s="1005"/>
      <c r="C55" s="1005"/>
      <c r="D55" s="1005"/>
      <c r="E55" s="1005"/>
      <c r="F55" s="1005"/>
      <c r="G55" s="1005"/>
      <c r="H55" s="1005"/>
      <c r="I55" s="1005"/>
    </row>
    <row r="56" spans="1:9">
      <c r="A56" s="1004" t="s">
        <v>598</v>
      </c>
      <c r="B56" s="1005"/>
      <c r="C56" s="1005"/>
      <c r="D56" s="1005"/>
      <c r="E56" s="1005"/>
      <c r="F56" s="1005"/>
      <c r="G56" s="1005"/>
      <c r="H56" s="1005"/>
      <c r="I56" s="1005"/>
    </row>
    <row r="57" spans="1:9">
      <c r="A57" s="1004" t="s">
        <v>595</v>
      </c>
      <c r="B57" s="1005"/>
      <c r="C57" s="1005"/>
      <c r="D57" s="1005"/>
      <c r="E57" s="1005"/>
      <c r="F57" s="1005"/>
      <c r="G57" s="1005"/>
      <c r="H57" s="1005"/>
      <c r="I57" s="1005"/>
    </row>
    <row r="58" spans="1:9">
      <c r="A58" s="1003"/>
      <c r="B58" s="1003"/>
      <c r="C58" s="1003"/>
      <c r="D58" s="1003"/>
      <c r="E58" s="1003"/>
      <c r="F58" s="1003"/>
      <c r="G58" s="1003"/>
      <c r="H58" s="1003"/>
      <c r="I58" s="1003"/>
    </row>
    <row r="59" spans="1:9">
      <c r="A59" s="1004" t="s">
        <v>181</v>
      </c>
      <c r="B59" s="1005"/>
      <c r="C59" s="1005"/>
      <c r="D59" s="1005"/>
      <c r="E59" s="1005"/>
      <c r="F59" s="1005"/>
      <c r="G59" s="1005"/>
      <c r="H59" s="1005"/>
      <c r="I59" s="1005"/>
    </row>
    <row r="60" spans="1:9">
      <c r="A60" s="1004" t="s">
        <v>599</v>
      </c>
      <c r="B60" s="1005"/>
      <c r="C60" s="1005"/>
      <c r="D60" s="1005"/>
      <c r="E60" s="1005"/>
      <c r="F60" s="1005"/>
      <c r="G60" s="1005"/>
      <c r="H60" s="1005"/>
      <c r="I60" s="1005"/>
    </row>
    <row r="61" spans="1:9">
      <c r="A61" s="1004" t="s">
        <v>596</v>
      </c>
      <c r="B61" s="1005"/>
      <c r="C61" s="1005"/>
      <c r="D61" s="1005"/>
      <c r="E61" s="1005"/>
      <c r="F61" s="1005"/>
      <c r="G61" s="1005"/>
      <c r="H61" s="1005"/>
      <c r="I61" s="1005"/>
    </row>
    <row r="62" spans="1:9">
      <c r="A62" s="1003"/>
      <c r="B62" s="1003"/>
      <c r="C62" s="1003"/>
      <c r="D62" s="1003"/>
      <c r="E62" s="1003"/>
      <c r="F62" s="1003"/>
      <c r="G62" s="1003"/>
      <c r="H62" s="1003"/>
      <c r="I62" s="1003"/>
    </row>
    <row r="63" spans="1:9">
      <c r="A63" s="1004" t="s">
        <v>600</v>
      </c>
      <c r="B63" s="1005"/>
      <c r="C63" s="1005"/>
      <c r="D63" s="1005"/>
      <c r="E63" s="1005"/>
      <c r="F63" s="1005"/>
      <c r="G63" s="1005"/>
      <c r="H63" s="1005"/>
      <c r="I63" s="1005"/>
    </row>
    <row r="64" spans="1:9">
      <c r="A64" s="1004" t="s">
        <v>602</v>
      </c>
      <c r="B64" s="1005"/>
      <c r="C64" s="1005"/>
      <c r="D64" s="1005"/>
      <c r="E64" s="1005"/>
      <c r="F64" s="1005"/>
      <c r="G64" s="1005"/>
      <c r="H64" s="1005"/>
      <c r="I64" s="1005"/>
    </row>
    <row r="65" spans="1:9" ht="12.75" customHeight="1">
      <c r="A65" s="1004" t="s">
        <v>603</v>
      </c>
      <c r="B65" s="1005"/>
      <c r="C65" s="1005"/>
      <c r="D65" s="1005"/>
      <c r="E65" s="1005"/>
      <c r="F65" s="1005"/>
      <c r="G65" s="1005"/>
      <c r="H65" s="1005"/>
      <c r="I65" s="1005"/>
    </row>
    <row r="66" spans="1:9">
      <c r="A66" s="1003"/>
      <c r="B66" s="1003"/>
      <c r="C66" s="1003"/>
      <c r="D66" s="1003"/>
      <c r="E66" s="1003"/>
      <c r="F66" s="1003"/>
      <c r="G66" s="1003"/>
      <c r="H66" s="1003"/>
      <c r="I66" s="1003"/>
    </row>
    <row r="67" spans="1:9">
      <c r="A67" s="1004" t="s">
        <v>601</v>
      </c>
      <c r="B67" s="1005"/>
      <c r="C67" s="1005"/>
      <c r="D67" s="1005"/>
      <c r="E67" s="1005"/>
      <c r="F67" s="1005"/>
      <c r="G67" s="1005"/>
      <c r="H67" s="1005"/>
      <c r="I67" s="1005"/>
    </row>
  </sheetData>
  <mergeCells count="68">
    <mergeCell ref="A25:I25"/>
    <mergeCell ref="A26:I26"/>
    <mergeCell ref="A67:I67"/>
    <mergeCell ref="A62:I62"/>
    <mergeCell ref="A63:I63"/>
    <mergeCell ref="A64:I64"/>
    <mergeCell ref="A65:I65"/>
    <mergeCell ref="A66:I66"/>
    <mergeCell ref="A57:I57"/>
    <mergeCell ref="A47:I47"/>
    <mergeCell ref="A48:I48"/>
    <mergeCell ref="A49:I49"/>
    <mergeCell ref="A50:I50"/>
    <mergeCell ref="A52:I52"/>
    <mergeCell ref="A53:I53"/>
    <mergeCell ref="A54:I54"/>
    <mergeCell ref="A55:I55"/>
    <mergeCell ref="A56:I56"/>
    <mergeCell ref="A44:I44"/>
    <mergeCell ref="A43:I43"/>
    <mergeCell ref="A45:I45"/>
    <mergeCell ref="A46:I46"/>
    <mergeCell ref="A51:I51"/>
    <mergeCell ref="A9:I9"/>
    <mergeCell ref="A17:I17"/>
    <mergeCell ref="A19:I19"/>
    <mergeCell ref="A10:I10"/>
    <mergeCell ref="A11:I11"/>
    <mergeCell ref="A12:I12"/>
    <mergeCell ref="A13:I13"/>
    <mergeCell ref="A42:I42"/>
    <mergeCell ref="A41:I41"/>
    <mergeCell ref="A34:I34"/>
    <mergeCell ref="A36:I36"/>
    <mergeCell ref="A38:I38"/>
    <mergeCell ref="A40:I40"/>
    <mergeCell ref="A7:I7"/>
    <mergeCell ref="A33:I33"/>
    <mergeCell ref="A37:I37"/>
    <mergeCell ref="A35:I35"/>
    <mergeCell ref="A39:I39"/>
    <mergeCell ref="A30:I30"/>
    <mergeCell ref="A32:I32"/>
    <mergeCell ref="A23:I23"/>
    <mergeCell ref="A28:I28"/>
    <mergeCell ref="A29:I29"/>
    <mergeCell ref="A31:I31"/>
    <mergeCell ref="A8:I8"/>
    <mergeCell ref="A14:I14"/>
    <mergeCell ref="A18:I18"/>
    <mergeCell ref="A21:I21"/>
    <mergeCell ref="A24:I24"/>
    <mergeCell ref="M1:N1"/>
    <mergeCell ref="A58:I58"/>
    <mergeCell ref="A59:I59"/>
    <mergeCell ref="A60:I60"/>
    <mergeCell ref="A61:I61"/>
    <mergeCell ref="A1:I1"/>
    <mergeCell ref="A2:I2"/>
    <mergeCell ref="A3:I3"/>
    <mergeCell ref="A22:I22"/>
    <mergeCell ref="A27:I27"/>
    <mergeCell ref="A15:I15"/>
    <mergeCell ref="A16:I16"/>
    <mergeCell ref="A20:I20"/>
    <mergeCell ref="A6:I6"/>
    <mergeCell ref="A4:I4"/>
    <mergeCell ref="A5:I5"/>
  </mergeCells>
  <pageMargins left="1" right="1" top="1" bottom="1" header="0.5" footer="0.5"/>
  <pageSetup scale="95" fitToHeight="0"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0">
    <pageSetUpPr fitToPage="1"/>
  </sheetPr>
  <dimension ref="A1:L48"/>
  <sheetViews>
    <sheetView showGridLines="0" zoomScaleNormal="100" workbookViewId="0">
      <selection activeCell="A7" sqref="A7"/>
    </sheetView>
  </sheetViews>
  <sheetFormatPr defaultColWidth="9.140625" defaultRowHeight="12"/>
  <cols>
    <col min="1" max="3" width="9.140625" style="10"/>
    <col min="4" max="4" width="12.42578125" style="10" bestFit="1" customWidth="1"/>
    <col min="5" max="5" width="9.140625" style="10" customWidth="1"/>
    <col min="6" max="6" width="12.42578125" style="10" customWidth="1"/>
    <col min="7" max="7" width="9.140625" style="10" customWidth="1"/>
    <col min="8" max="8" width="12.42578125" style="10" customWidth="1"/>
    <col min="9" max="9" width="9.140625" style="10" customWidth="1"/>
    <col min="10" max="10" width="9.28515625" style="10" customWidth="1"/>
    <col min="11" max="11" width="4.7109375" style="10" customWidth="1"/>
    <col min="12" max="13" width="10.7109375" style="10" customWidth="1"/>
    <col min="14" max="16384" width="9.140625" style="10"/>
  </cols>
  <sheetData>
    <row r="1" spans="1:12">
      <c r="A1" s="1010" t="s">
        <v>151</v>
      </c>
      <c r="B1" s="1011"/>
      <c r="C1" s="1011"/>
      <c r="D1" s="1011"/>
      <c r="E1" s="1011"/>
      <c r="F1" s="1011"/>
      <c r="G1" s="1011"/>
      <c r="H1" s="1011"/>
      <c r="I1" s="1011"/>
      <c r="J1" s="1011"/>
      <c r="K1" s="1012"/>
    </row>
    <row r="2" spans="1:12" ht="12.75" thickBot="1">
      <c r="A2" s="1013"/>
      <c r="B2" s="1014"/>
      <c r="C2" s="1014"/>
      <c r="D2" s="1014"/>
      <c r="E2" s="1014"/>
      <c r="F2" s="1014"/>
      <c r="G2" s="1014"/>
      <c r="H2" s="1014"/>
      <c r="I2" s="1014"/>
      <c r="J2" s="1014"/>
      <c r="K2" s="1015"/>
    </row>
    <row r="3" spans="1:12" ht="12" customHeight="1" thickBot="1">
      <c r="I3" s="11"/>
      <c r="J3" s="11"/>
      <c r="K3" s="12"/>
    </row>
    <row r="4" spans="1:12" ht="12" customHeight="1" thickBot="1">
      <c r="A4" s="1007" t="s">
        <v>165</v>
      </c>
      <c r="B4" s="1008"/>
      <c r="C4" s="1008"/>
      <c r="D4" s="1008"/>
      <c r="E4" s="1008"/>
      <c r="F4" s="1008"/>
      <c r="G4" s="1008"/>
      <c r="H4" s="1008"/>
      <c r="I4" s="1008"/>
      <c r="J4" s="1008"/>
      <c r="K4" s="1009"/>
    </row>
    <row r="5" spans="1:12" ht="12" customHeight="1">
      <c r="D5" s="128" t="s">
        <v>11</v>
      </c>
      <c r="E5" s="128"/>
      <c r="F5" s="128" t="s">
        <v>12</v>
      </c>
      <c r="G5" s="125"/>
      <c r="H5" s="128" t="s">
        <v>13</v>
      </c>
      <c r="I5" s="125"/>
      <c r="J5" s="124"/>
      <c r="K5" s="124"/>
    </row>
    <row r="6" spans="1:12" ht="12" customHeight="1">
      <c r="A6" s="104" t="s">
        <v>152</v>
      </c>
      <c r="D6" s="129" t="s">
        <v>14</v>
      </c>
      <c r="E6" s="128"/>
      <c r="F6" s="129" t="s">
        <v>15</v>
      </c>
      <c r="G6" s="126"/>
      <c r="H6" s="129" t="s">
        <v>16</v>
      </c>
      <c r="I6" s="126"/>
      <c r="J6" s="124"/>
      <c r="K6" s="124"/>
    </row>
    <row r="7" spans="1:12" ht="12" customHeight="1" thickBot="1">
      <c r="A7" s="100">
        <v>25</v>
      </c>
      <c r="B7" s="101" t="s">
        <v>149</v>
      </c>
      <c r="C7" s="101" t="s">
        <v>168</v>
      </c>
      <c r="D7" s="132">
        <f>A7*0.03</f>
        <v>0.75</v>
      </c>
      <c r="E7" s="127" t="s">
        <v>17</v>
      </c>
      <c r="F7" s="132">
        <f>A7*0.09</f>
        <v>2.25</v>
      </c>
      <c r="G7" s="127" t="s">
        <v>17</v>
      </c>
      <c r="H7" s="132">
        <f>A7*0.12</f>
        <v>3</v>
      </c>
      <c r="I7" s="127" t="s">
        <v>17</v>
      </c>
      <c r="J7" s="139"/>
      <c r="K7" s="139"/>
    </row>
    <row r="8" spans="1:12" ht="12" customHeight="1">
      <c r="F8" s="13"/>
      <c r="H8" s="13"/>
      <c r="L8" s="13"/>
    </row>
    <row r="9" spans="1:12" ht="12" customHeight="1" thickBot="1">
      <c r="F9" s="13"/>
      <c r="H9" s="13"/>
      <c r="L9" s="13"/>
    </row>
    <row r="10" spans="1:12" ht="12" customHeight="1" thickBot="1">
      <c r="A10" s="1007" t="s">
        <v>166</v>
      </c>
      <c r="B10" s="1008"/>
      <c r="C10" s="1008"/>
      <c r="D10" s="1008"/>
      <c r="E10" s="1008"/>
      <c r="F10" s="1008"/>
      <c r="G10" s="1008"/>
      <c r="H10" s="1008"/>
      <c r="I10" s="1008"/>
      <c r="J10" s="1008"/>
      <c r="K10" s="1009"/>
    </row>
    <row r="11" spans="1:12" ht="12" customHeight="1">
      <c r="D11" s="128" t="s">
        <v>11</v>
      </c>
      <c r="E11" s="128"/>
      <c r="F11" s="128" t="s">
        <v>12</v>
      </c>
      <c r="G11" s="125"/>
      <c r="H11" s="128" t="s">
        <v>13</v>
      </c>
      <c r="I11" s="125"/>
      <c r="J11" s="124"/>
      <c r="K11" s="124"/>
    </row>
    <row r="12" spans="1:12" ht="12" customHeight="1">
      <c r="A12" s="104" t="s">
        <v>152</v>
      </c>
      <c r="D12" s="129" t="s">
        <v>14</v>
      </c>
      <c r="E12" s="128"/>
      <c r="F12" s="129" t="s">
        <v>15</v>
      </c>
      <c r="G12" s="126"/>
      <c r="H12" s="129" t="s">
        <v>16</v>
      </c>
      <c r="I12" s="126"/>
      <c r="J12" s="124"/>
      <c r="K12" s="124"/>
    </row>
    <row r="13" spans="1:12" ht="12" customHeight="1" thickBot="1">
      <c r="A13" s="102">
        <v>1.5</v>
      </c>
      <c r="B13" s="101" t="s">
        <v>17</v>
      </c>
      <c r="C13" s="101" t="s">
        <v>168</v>
      </c>
      <c r="D13" s="133">
        <f>A13/3*100</f>
        <v>50</v>
      </c>
      <c r="E13" s="127" t="s">
        <v>149</v>
      </c>
      <c r="F13" s="133">
        <f>A13/9*100</f>
        <v>17</v>
      </c>
      <c r="G13" s="127" t="s">
        <v>149</v>
      </c>
      <c r="H13" s="133">
        <f>A13/12*100</f>
        <v>13</v>
      </c>
      <c r="I13" s="127" t="s">
        <v>149</v>
      </c>
      <c r="J13" s="139"/>
      <c r="K13" s="139"/>
    </row>
    <row r="14" spans="1:12" ht="12" customHeight="1">
      <c r="F14" s="13"/>
      <c r="H14" s="13"/>
      <c r="I14" s="13"/>
    </row>
    <row r="15" spans="1:12" ht="12" customHeight="1" thickBot="1">
      <c r="F15" s="13"/>
      <c r="H15" s="13"/>
      <c r="I15" s="13"/>
    </row>
    <row r="16" spans="1:12" ht="12" customHeight="1" thickBot="1">
      <c r="A16" s="1007" t="s">
        <v>167</v>
      </c>
      <c r="B16" s="1008"/>
      <c r="C16" s="1008"/>
      <c r="D16" s="1008"/>
      <c r="E16" s="1008"/>
      <c r="F16" s="1008"/>
      <c r="G16" s="1008"/>
      <c r="H16" s="1008"/>
      <c r="I16" s="1008"/>
      <c r="J16" s="1008"/>
      <c r="K16" s="1009"/>
    </row>
    <row r="17" spans="1:11" ht="12" customHeight="1">
      <c r="D17" s="128" t="s">
        <v>11</v>
      </c>
      <c r="E17" s="128"/>
      <c r="F17" s="128" t="s">
        <v>12</v>
      </c>
      <c r="G17" s="125"/>
      <c r="H17" s="128" t="s">
        <v>13</v>
      </c>
      <c r="I17" s="125"/>
      <c r="J17" s="124"/>
      <c r="K17" s="124"/>
    </row>
    <row r="18" spans="1:11" ht="12" customHeight="1">
      <c r="A18" s="104" t="s">
        <v>152</v>
      </c>
      <c r="D18" s="129" t="s">
        <v>14</v>
      </c>
      <c r="E18" s="128"/>
      <c r="F18" s="129" t="s">
        <v>15</v>
      </c>
      <c r="G18" s="126"/>
      <c r="H18" s="129" t="s">
        <v>16</v>
      </c>
      <c r="I18" s="126"/>
      <c r="J18" s="124"/>
      <c r="K18" s="124"/>
    </row>
    <row r="19" spans="1:11" ht="12" customHeight="1" thickBot="1">
      <c r="A19" s="103">
        <v>0.5</v>
      </c>
      <c r="B19" s="101" t="s">
        <v>17</v>
      </c>
      <c r="C19" s="101" t="s">
        <v>168</v>
      </c>
      <c r="D19" s="134">
        <f>A19/3*13*40</f>
        <v>86.67</v>
      </c>
      <c r="E19" s="127" t="s">
        <v>150</v>
      </c>
      <c r="F19" s="134">
        <f>A19/9*39*40</f>
        <v>86.67</v>
      </c>
      <c r="G19" s="127" t="s">
        <v>150</v>
      </c>
      <c r="H19" s="134">
        <f>A19/12*52*40</f>
        <v>86.67</v>
      </c>
      <c r="I19" s="127" t="s">
        <v>150</v>
      </c>
      <c r="J19" s="139"/>
      <c r="K19" s="139"/>
    </row>
    <row r="20" spans="1:11" ht="12" customHeight="1">
      <c r="F20" s="14"/>
      <c r="G20" s="14"/>
      <c r="K20" s="104"/>
    </row>
    <row r="21" spans="1:11" ht="12" customHeight="1">
      <c r="F21" s="14"/>
      <c r="G21" s="14"/>
      <c r="K21" s="104"/>
    </row>
    <row r="22" spans="1:11" ht="12" customHeight="1">
      <c r="F22" s="14"/>
      <c r="G22" s="14"/>
      <c r="K22" s="104"/>
    </row>
    <row r="23" spans="1:11" ht="12" customHeight="1">
      <c r="F23" s="14"/>
      <c r="G23" s="14"/>
      <c r="K23" s="104"/>
    </row>
    <row r="24" spans="1:11" ht="12" customHeight="1" thickBot="1">
      <c r="F24" s="14"/>
      <c r="G24" s="14"/>
      <c r="K24" s="104"/>
    </row>
    <row r="25" spans="1:11">
      <c r="A25" s="1010" t="s">
        <v>197</v>
      </c>
      <c r="B25" s="1011"/>
      <c r="C25" s="1011"/>
      <c r="D25" s="1011"/>
      <c r="E25" s="1011"/>
      <c r="F25" s="1011"/>
      <c r="G25" s="1011"/>
      <c r="H25" s="1011"/>
      <c r="I25" s="1011"/>
      <c r="J25" s="1011"/>
      <c r="K25" s="1012"/>
    </row>
    <row r="26" spans="1:11" ht="12.75" thickBot="1">
      <c r="A26" s="1013"/>
      <c r="B26" s="1014"/>
      <c r="C26" s="1014"/>
      <c r="D26" s="1014"/>
      <c r="E26" s="1014"/>
      <c r="F26" s="1014"/>
      <c r="G26" s="1014"/>
      <c r="H26" s="1014"/>
      <c r="I26" s="1014"/>
      <c r="J26" s="1014"/>
      <c r="K26" s="1015"/>
    </row>
    <row r="27" spans="1:11" ht="12" customHeight="1" thickBot="1">
      <c r="F27" s="14"/>
      <c r="G27" s="14"/>
    </row>
    <row r="28" spans="1:11" ht="12" customHeight="1" thickBot="1">
      <c r="A28" s="1007" t="s">
        <v>196</v>
      </c>
      <c r="B28" s="1008"/>
      <c r="C28" s="1008"/>
      <c r="D28" s="1008"/>
      <c r="E28" s="1008"/>
      <c r="F28" s="1008"/>
      <c r="G28" s="1008"/>
      <c r="H28" s="1008"/>
      <c r="I28" s="1008"/>
      <c r="J28" s="1008"/>
      <c r="K28" s="1009"/>
    </row>
    <row r="29" spans="1:11" ht="12.75" customHeight="1">
      <c r="A29" s="1016" t="str">
        <f>'BP1'!B15</f>
        <v>Professor McCormick</v>
      </c>
      <c r="B29" s="1016"/>
      <c r="C29" s="1016"/>
      <c r="D29" s="123">
        <f>'BP1'!H15+'BP1'!I15</f>
        <v>0</v>
      </c>
      <c r="E29" s="124" t="str">
        <f>IF('BP1'!H15&gt;0,"CM","AM")</f>
        <v>AM</v>
      </c>
      <c r="F29" s="123">
        <f>'BP1'!J15</f>
        <v>0</v>
      </c>
      <c r="G29" s="124" t="s">
        <v>195</v>
      </c>
      <c r="H29" s="135">
        <f t="shared" ref="H29:H48" si="0">(IF(E29="CM",D29/12*52*40,D29/9*39*40))+(F29/3*13*40)</f>
        <v>0</v>
      </c>
      <c r="I29" s="124" t="s">
        <v>150</v>
      </c>
      <c r="J29" s="137" t="str">
        <f>IF(H29&gt;0,'BP1'!K15/H29,"")</f>
        <v/>
      </c>
      <c r="K29" s="124" t="s">
        <v>606</v>
      </c>
    </row>
    <row r="30" spans="1:11">
      <c r="A30" s="1017" t="str">
        <f>IF('BP1'!B16&gt;0,'BP1'!B16,"Senior Personnel 2")</f>
        <v>Senior Personnel 2</v>
      </c>
      <c r="B30" s="1017"/>
      <c r="C30" s="1017"/>
      <c r="D30" s="121">
        <f>'BP1'!H16+'BP1'!I16</f>
        <v>0</v>
      </c>
      <c r="E30" s="122" t="str">
        <f>IF('BP1'!H16&gt;0,"CM","AM")</f>
        <v>AM</v>
      </c>
      <c r="F30" s="121">
        <f>'BP1'!J16</f>
        <v>0</v>
      </c>
      <c r="G30" s="122" t="s">
        <v>195</v>
      </c>
      <c r="H30" s="135">
        <f t="shared" si="0"/>
        <v>0</v>
      </c>
      <c r="I30" s="122" t="s">
        <v>150</v>
      </c>
      <c r="J30" s="137" t="str">
        <f>IF(H30&gt;0,'BP1'!K16/H30,"")</f>
        <v/>
      </c>
      <c r="K30" s="122" t="s">
        <v>606</v>
      </c>
    </row>
    <row r="31" spans="1:11">
      <c r="A31" s="1016" t="str">
        <f>IF('BP1'!B17&gt;0,'BP1'!B17,"Senior Personnel 3")</f>
        <v>Senior Personnel 3</v>
      </c>
      <c r="B31" s="1016"/>
      <c r="C31" s="1016"/>
      <c r="D31" s="123">
        <f>'BP1'!H17+'BP1'!I17</f>
        <v>0</v>
      </c>
      <c r="E31" s="124" t="str">
        <f>IF('BP1'!H17&gt;0,"CM","AM")</f>
        <v>AM</v>
      </c>
      <c r="F31" s="123">
        <f>'BP1'!J17</f>
        <v>0</v>
      </c>
      <c r="G31" s="124" t="s">
        <v>195</v>
      </c>
      <c r="H31" s="135">
        <f t="shared" si="0"/>
        <v>0</v>
      </c>
      <c r="I31" s="124" t="s">
        <v>150</v>
      </c>
      <c r="J31" s="137" t="str">
        <f>IF(H31&gt;0,'BP1'!K17/H31,"")</f>
        <v/>
      </c>
      <c r="K31" s="124" t="s">
        <v>606</v>
      </c>
    </row>
    <row r="32" spans="1:11">
      <c r="A32" s="1017" t="str">
        <f>IF('BP1'!B18&gt;0,'BP1'!B18,"Senior Personnel 4")</f>
        <v>Senior Personnel 4</v>
      </c>
      <c r="B32" s="1017"/>
      <c r="C32" s="1017"/>
      <c r="D32" s="121">
        <f>'BP1'!H18+'BP1'!I18</f>
        <v>0</v>
      </c>
      <c r="E32" s="122" t="str">
        <f>IF('BP1'!H18&gt;0,"CM","AM")</f>
        <v>AM</v>
      </c>
      <c r="F32" s="121">
        <f>'BP1'!J18</f>
        <v>0</v>
      </c>
      <c r="G32" s="122" t="s">
        <v>195</v>
      </c>
      <c r="H32" s="135">
        <f t="shared" si="0"/>
        <v>0</v>
      </c>
      <c r="I32" s="122" t="s">
        <v>150</v>
      </c>
      <c r="J32" s="137" t="str">
        <f>IF(H32&gt;0,'BP1'!K18/H32,"")</f>
        <v/>
      </c>
      <c r="K32" s="122" t="s">
        <v>606</v>
      </c>
    </row>
    <row r="33" spans="1:11">
      <c r="A33" s="1016" t="str">
        <f>IF('BP1'!B19&gt;0,'BP1'!B19,"Senior Personnel 5")</f>
        <v>Senior Personnel 5</v>
      </c>
      <c r="B33" s="1016"/>
      <c r="C33" s="1016"/>
      <c r="D33" s="123">
        <f>'BP1'!H19+'BP1'!I19</f>
        <v>0</v>
      </c>
      <c r="E33" s="124" t="str">
        <f>IF('BP1'!H19&gt;0,"CM","AM")</f>
        <v>AM</v>
      </c>
      <c r="F33" s="123">
        <f>'BP1'!J19</f>
        <v>0</v>
      </c>
      <c r="G33" s="124" t="s">
        <v>195</v>
      </c>
      <c r="H33" s="135">
        <f t="shared" si="0"/>
        <v>0</v>
      </c>
      <c r="I33" s="124" t="s">
        <v>150</v>
      </c>
      <c r="J33" s="137" t="str">
        <f>IF(H33&gt;0,'BP1'!K19/H33,"")</f>
        <v/>
      </c>
      <c r="K33" s="124" t="s">
        <v>606</v>
      </c>
    </row>
    <row r="34" spans="1:11">
      <c r="A34" s="1017" t="str">
        <f>IF('BP1'!B20&gt;0,'BP1'!B20,"Senior Personnel 6")</f>
        <v>Senior Personnel 6</v>
      </c>
      <c r="B34" s="1017"/>
      <c r="C34" s="1017"/>
      <c r="D34" s="121">
        <f>'BP1'!H20+'BP1'!I20</f>
        <v>0</v>
      </c>
      <c r="E34" s="122" t="str">
        <f>IF('BP1'!H20&gt;0,"CM","AM")</f>
        <v>AM</v>
      </c>
      <c r="F34" s="121">
        <f>'BP1'!J20</f>
        <v>0</v>
      </c>
      <c r="G34" s="122" t="s">
        <v>195</v>
      </c>
      <c r="H34" s="135">
        <f t="shared" si="0"/>
        <v>0</v>
      </c>
      <c r="I34" s="122" t="s">
        <v>150</v>
      </c>
      <c r="J34" s="137" t="str">
        <f>IF(H34&gt;0,'BP1'!K20/H34,"")</f>
        <v/>
      </c>
      <c r="K34" s="122" t="s">
        <v>606</v>
      </c>
    </row>
    <row r="35" spans="1:11">
      <c r="A35" s="1016" t="str">
        <f>IF('BP1'!B21&gt;0,'BP1'!B21,"Senior Personnel 7")</f>
        <v>Senior Personnel 7</v>
      </c>
      <c r="B35" s="1016"/>
      <c r="C35" s="1016"/>
      <c r="D35" s="123">
        <f>'BP1'!H21+'BP1'!I21</f>
        <v>0</v>
      </c>
      <c r="E35" s="124" t="str">
        <f>IF('BP1'!H21&gt;0,"CM","AM")</f>
        <v>AM</v>
      </c>
      <c r="F35" s="123">
        <f>'BP1'!J21</f>
        <v>0</v>
      </c>
      <c r="G35" s="124" t="s">
        <v>195</v>
      </c>
      <c r="H35" s="135">
        <f t="shared" si="0"/>
        <v>0</v>
      </c>
      <c r="I35" s="124" t="s">
        <v>150</v>
      </c>
      <c r="J35" s="137" t="str">
        <f>IF(H35&gt;0,'BP1'!K21/H35,"")</f>
        <v/>
      </c>
      <c r="K35" s="124" t="s">
        <v>606</v>
      </c>
    </row>
    <row r="36" spans="1:11">
      <c r="A36" s="1017" t="str">
        <f>IF('BP1'!B22&gt;0,'BP1'!B22,"Senior Personnel 8")</f>
        <v>Senior Personnel 8</v>
      </c>
      <c r="B36" s="1017"/>
      <c r="C36" s="1017"/>
      <c r="D36" s="121">
        <f>'BP1'!H22+'BP1'!I22</f>
        <v>0</v>
      </c>
      <c r="E36" s="122" t="str">
        <f>IF('BP1'!H22&gt;0,"CM","AM")</f>
        <v>AM</v>
      </c>
      <c r="F36" s="121">
        <f>'BP1'!J22</f>
        <v>0</v>
      </c>
      <c r="G36" s="122" t="s">
        <v>195</v>
      </c>
      <c r="H36" s="135">
        <f t="shared" si="0"/>
        <v>0</v>
      </c>
      <c r="I36" s="122" t="s">
        <v>150</v>
      </c>
      <c r="J36" s="137" t="str">
        <f>IF(H36&gt;0,'BP1'!K22/H36,"")</f>
        <v/>
      </c>
      <c r="K36" s="122" t="s">
        <v>606</v>
      </c>
    </row>
    <row r="37" spans="1:11">
      <c r="A37" s="1016" t="str">
        <f>IF('BP1'!B23&gt;0,'BP1'!B23,"Senior Personnel 9")</f>
        <v>Senior Personnel 9</v>
      </c>
      <c r="B37" s="1016"/>
      <c r="C37" s="1016"/>
      <c r="D37" s="123">
        <f>'BP1'!H23+'BP1'!I23</f>
        <v>0</v>
      </c>
      <c r="E37" s="124" t="str">
        <f>IF('BP1'!H23&gt;0,"CM","AM")</f>
        <v>AM</v>
      </c>
      <c r="F37" s="123">
        <f>'BP1'!J23</f>
        <v>0</v>
      </c>
      <c r="G37" s="124" t="s">
        <v>195</v>
      </c>
      <c r="H37" s="135">
        <f t="shared" si="0"/>
        <v>0</v>
      </c>
      <c r="I37" s="124" t="s">
        <v>150</v>
      </c>
      <c r="J37" s="137" t="str">
        <f>IF(H37&gt;0,'BP1'!K23/H37,"")</f>
        <v/>
      </c>
      <c r="K37" s="124" t="s">
        <v>606</v>
      </c>
    </row>
    <row r="38" spans="1:11">
      <c r="A38" s="1017" t="str">
        <f>IF('BP1'!B24&gt;0,'BP1'!B24,"Senior Personnel 10")</f>
        <v>Senior Personnel 10</v>
      </c>
      <c r="B38" s="1017"/>
      <c r="C38" s="1017"/>
      <c r="D38" s="121">
        <f>'BP1'!H24+'BP1'!I24</f>
        <v>0</v>
      </c>
      <c r="E38" s="122" t="str">
        <f>IF('BP1'!H24&gt;0,"CM","AM")</f>
        <v>AM</v>
      </c>
      <c r="F38" s="121">
        <f>'BP1'!J24</f>
        <v>0</v>
      </c>
      <c r="G38" s="122" t="s">
        <v>195</v>
      </c>
      <c r="H38" s="135">
        <f t="shared" si="0"/>
        <v>0</v>
      </c>
      <c r="I38" s="122" t="s">
        <v>150</v>
      </c>
      <c r="J38" s="137" t="str">
        <f>IF(H38&gt;0,'BP1'!K24/H38,"")</f>
        <v/>
      </c>
      <c r="K38" s="122" t="s">
        <v>606</v>
      </c>
    </row>
    <row r="39" spans="1:11">
      <c r="A39" s="1016" t="str">
        <f>IF('BP1'!B25&gt;0,'BP1'!B25,"Senior Personnel 11")</f>
        <v>Senior Personnel 11</v>
      </c>
      <c r="B39" s="1016"/>
      <c r="C39" s="1016"/>
      <c r="D39" s="123">
        <f>'BP1'!H25+'BP1'!I25</f>
        <v>0</v>
      </c>
      <c r="E39" s="124" t="str">
        <f>IF('BP1'!H25&gt;0,"CM","AM")</f>
        <v>AM</v>
      </c>
      <c r="F39" s="123">
        <f>'BP1'!J25</f>
        <v>0</v>
      </c>
      <c r="G39" s="124" t="s">
        <v>195</v>
      </c>
      <c r="H39" s="135">
        <f t="shared" si="0"/>
        <v>0</v>
      </c>
      <c r="I39" s="124" t="s">
        <v>150</v>
      </c>
      <c r="J39" s="137" t="str">
        <f>IF(H39&gt;0,'BP1'!K25/H39,"")</f>
        <v/>
      </c>
      <c r="K39" s="124" t="s">
        <v>606</v>
      </c>
    </row>
    <row r="40" spans="1:11">
      <c r="A40" s="1017" t="str">
        <f>IF('BP1'!B26&gt;0,'BP1'!B26,"Senior Personnel 12")</f>
        <v>Senior Personnel 12</v>
      </c>
      <c r="B40" s="1017"/>
      <c r="C40" s="1017"/>
      <c r="D40" s="121">
        <f>'BP1'!H26+'BP1'!I26</f>
        <v>0</v>
      </c>
      <c r="E40" s="122" t="str">
        <f>IF('BP1'!H26&gt;0,"CM","AM")</f>
        <v>AM</v>
      </c>
      <c r="F40" s="121">
        <f>'BP1'!J26</f>
        <v>0</v>
      </c>
      <c r="G40" s="122" t="s">
        <v>195</v>
      </c>
      <c r="H40" s="135">
        <f t="shared" si="0"/>
        <v>0</v>
      </c>
      <c r="I40" s="122" t="s">
        <v>150</v>
      </c>
      <c r="J40" s="137" t="str">
        <f>IF(H40&gt;0,'BP1'!K26/H40,"")</f>
        <v/>
      </c>
      <c r="K40" s="122" t="s">
        <v>606</v>
      </c>
    </row>
    <row r="41" spans="1:11">
      <c r="A41" s="1016" t="str">
        <f>IF('BP1'!B27&gt;0,'BP1'!B27,"Senior Personnel 13")</f>
        <v>Senior Personnel 13</v>
      </c>
      <c r="B41" s="1016"/>
      <c r="C41" s="1016"/>
      <c r="D41" s="123">
        <f>'BP1'!H27+'BP1'!I27</f>
        <v>0</v>
      </c>
      <c r="E41" s="124" t="str">
        <f>IF('BP1'!H27&gt;0,"CM","AM")</f>
        <v>AM</v>
      </c>
      <c r="F41" s="123">
        <f>'BP1'!J27</f>
        <v>0</v>
      </c>
      <c r="G41" s="124" t="s">
        <v>195</v>
      </c>
      <c r="H41" s="135">
        <f t="shared" si="0"/>
        <v>0</v>
      </c>
      <c r="I41" s="124" t="s">
        <v>150</v>
      </c>
      <c r="J41" s="137" t="str">
        <f>IF(H41&gt;0,'BP1'!K27/H41,"")</f>
        <v/>
      </c>
      <c r="K41" s="124" t="s">
        <v>606</v>
      </c>
    </row>
    <row r="42" spans="1:11">
      <c r="A42" s="1017" t="str">
        <f>IF('BP1'!B28&gt;0,'BP1'!B28,"Senior Personnel 14")</f>
        <v>Senior Personnel 14</v>
      </c>
      <c r="B42" s="1017"/>
      <c r="C42" s="1017"/>
      <c r="D42" s="121">
        <f>'BP1'!H28+'BP1'!I28</f>
        <v>0</v>
      </c>
      <c r="E42" s="122" t="str">
        <f>IF('BP1'!H28&gt;0,"CM","AM")</f>
        <v>AM</v>
      </c>
      <c r="F42" s="121">
        <f>'BP1'!J28</f>
        <v>0</v>
      </c>
      <c r="G42" s="122" t="s">
        <v>195</v>
      </c>
      <c r="H42" s="135">
        <f t="shared" si="0"/>
        <v>0</v>
      </c>
      <c r="I42" s="122" t="s">
        <v>150</v>
      </c>
      <c r="J42" s="137" t="str">
        <f>IF(H42&gt;0,'BP1'!K28/H42,"")</f>
        <v/>
      </c>
      <c r="K42" s="122" t="s">
        <v>606</v>
      </c>
    </row>
    <row r="43" spans="1:11">
      <c r="A43" s="1016" t="str">
        <f>IF('BP1'!B29&gt;0,'BP1'!B29,"Senior Personnel 15")</f>
        <v>Senior Personnel 15</v>
      </c>
      <c r="B43" s="1016"/>
      <c r="C43" s="1016"/>
      <c r="D43" s="123">
        <f>'BP1'!H29+'BP1'!I29</f>
        <v>0</v>
      </c>
      <c r="E43" s="124" t="str">
        <f>IF('BP1'!H29&gt;0,"CM","AM")</f>
        <v>AM</v>
      </c>
      <c r="F43" s="123">
        <f>'BP1'!J29</f>
        <v>0</v>
      </c>
      <c r="G43" s="124" t="s">
        <v>195</v>
      </c>
      <c r="H43" s="135">
        <f t="shared" si="0"/>
        <v>0</v>
      </c>
      <c r="I43" s="124" t="s">
        <v>150</v>
      </c>
      <c r="J43" s="137" t="str">
        <f>IF(H43&gt;0,'BP1'!K29/H43,"")</f>
        <v/>
      </c>
      <c r="K43" s="124" t="s">
        <v>606</v>
      </c>
    </row>
    <row r="44" spans="1:11">
      <c r="A44" s="1017" t="s">
        <v>189</v>
      </c>
      <c r="B44" s="1017"/>
      <c r="C44" s="1017"/>
      <c r="D44" s="121">
        <f>'BP1'!H32</f>
        <v>0</v>
      </c>
      <c r="E44" s="122" t="s">
        <v>190</v>
      </c>
      <c r="F44" s="122"/>
      <c r="G44" s="122"/>
      <c r="H44" s="135">
        <f t="shared" si="0"/>
        <v>0</v>
      </c>
      <c r="I44" s="122" t="s">
        <v>150</v>
      </c>
      <c r="J44" s="137" t="str">
        <f>IF(H44&gt;0,'BP1'!K32/H44,"")</f>
        <v/>
      </c>
      <c r="K44" s="122" t="s">
        <v>606</v>
      </c>
    </row>
    <row r="45" spans="1:11">
      <c r="A45" s="1016" t="s">
        <v>191</v>
      </c>
      <c r="B45" s="1016"/>
      <c r="C45" s="1016"/>
      <c r="D45" s="123">
        <f>'BP1'!H33</f>
        <v>0</v>
      </c>
      <c r="E45" s="124" t="s">
        <v>190</v>
      </c>
      <c r="F45" s="124"/>
      <c r="G45" s="124"/>
      <c r="H45" s="135">
        <f t="shared" si="0"/>
        <v>0</v>
      </c>
      <c r="I45" s="124" t="s">
        <v>150</v>
      </c>
      <c r="J45" s="137" t="str">
        <f>IF(H45&gt;0,'BP1'!K33/H45,"")</f>
        <v/>
      </c>
      <c r="K45" s="124" t="s">
        <v>606</v>
      </c>
    </row>
    <row r="46" spans="1:11">
      <c r="A46" s="1017" t="s">
        <v>192</v>
      </c>
      <c r="B46" s="1017"/>
      <c r="C46" s="1017"/>
      <c r="D46" s="121">
        <f>'BP1'!H38</f>
        <v>0</v>
      </c>
      <c r="E46" s="122" t="s">
        <v>190</v>
      </c>
      <c r="F46" s="122"/>
      <c r="G46" s="122"/>
      <c r="H46" s="135">
        <f t="shared" si="0"/>
        <v>0</v>
      </c>
      <c r="I46" s="122" t="s">
        <v>150</v>
      </c>
      <c r="J46" s="137" t="str">
        <f>IF(H46&gt;0,'BP1'!K38/H46,"")</f>
        <v/>
      </c>
      <c r="K46" s="122" t="s">
        <v>606</v>
      </c>
    </row>
    <row r="47" spans="1:11">
      <c r="A47" s="1016" t="s">
        <v>193</v>
      </c>
      <c r="B47" s="1016"/>
      <c r="C47" s="1016"/>
      <c r="D47" s="123">
        <f>'BP1'!H39</f>
        <v>0</v>
      </c>
      <c r="E47" s="124" t="s">
        <v>190</v>
      </c>
      <c r="F47" s="124"/>
      <c r="G47" s="124"/>
      <c r="H47" s="135">
        <f t="shared" si="0"/>
        <v>0</v>
      </c>
      <c r="I47" s="124" t="s">
        <v>150</v>
      </c>
      <c r="J47" s="137" t="str">
        <f>IF(H47&gt;0,'BP1'!K39/H47,"")</f>
        <v/>
      </c>
      <c r="K47" s="124" t="s">
        <v>606</v>
      </c>
    </row>
    <row r="48" spans="1:11" ht="12.75" thickBot="1">
      <c r="A48" s="1018" t="s">
        <v>194</v>
      </c>
      <c r="B48" s="1018"/>
      <c r="C48" s="1018"/>
      <c r="D48" s="130">
        <f>'BP1'!H40</f>
        <v>0</v>
      </c>
      <c r="E48" s="131" t="s">
        <v>190</v>
      </c>
      <c r="F48" s="131"/>
      <c r="G48" s="131"/>
      <c r="H48" s="136">
        <f t="shared" si="0"/>
        <v>0</v>
      </c>
      <c r="I48" s="131" t="s">
        <v>150</v>
      </c>
      <c r="J48" s="138" t="str">
        <f>IF(H48&gt;0,'BP1'!K40/H48,"")</f>
        <v/>
      </c>
      <c r="K48" s="131" t="s">
        <v>606</v>
      </c>
    </row>
  </sheetData>
  <mergeCells count="26">
    <mergeCell ref="A44:C44"/>
    <mergeCell ref="A45:C45"/>
    <mergeCell ref="A46:C46"/>
    <mergeCell ref="A47:C47"/>
    <mergeCell ref="A48:C4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28:K28"/>
    <mergeCell ref="A1:K2"/>
    <mergeCell ref="A4:K4"/>
    <mergeCell ref="A10:K10"/>
    <mergeCell ref="A16:K16"/>
    <mergeCell ref="A25:K26"/>
  </mergeCells>
  <phoneticPr fontId="0" type="noConversion"/>
  <pageMargins left="0.5" right="0.3" top="1" bottom="1" header="0.5" footer="0.5"/>
  <pageSetup scale="94" orientation="portrait" r:id="rId1"/>
  <headerFooter alignWithMargins="0">
    <oddFooter>&amp;L&amp;8McCormick School of Engineering and Applied Science&amp;RAppendix B-Effort Calculator</oddFooter>
  </headerFooter>
  <ignoredErrors>
    <ignoredError sqref="J29:J48" unlockedFormula="1"/>
  </ignoredError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2">
    <pageSetUpPr fitToPage="1"/>
  </sheetPr>
  <dimension ref="A1:J140"/>
  <sheetViews>
    <sheetView workbookViewId="0">
      <selection activeCell="D2" sqref="D2"/>
    </sheetView>
  </sheetViews>
  <sheetFormatPr defaultRowHeight="12.75"/>
  <cols>
    <col min="1" max="1" width="64.28515625" customWidth="1"/>
    <col min="2" max="2" width="77.85546875" customWidth="1"/>
    <col min="4" max="4" width="11.42578125" customWidth="1"/>
    <col min="5" max="5" width="2.7109375" bestFit="1" customWidth="1"/>
  </cols>
  <sheetData>
    <row r="1" spans="1:10" ht="15.75">
      <c r="A1" s="33" t="s">
        <v>37</v>
      </c>
      <c r="B1" s="34" t="s">
        <v>38</v>
      </c>
      <c r="D1" s="333" t="s">
        <v>861</v>
      </c>
      <c r="J1" s="560">
        <f>COUNTIF(NIH,'BP1'!E9)</f>
        <v>0</v>
      </c>
    </row>
    <row r="2" spans="1:10">
      <c r="B2" s="35"/>
      <c r="D2" s="25">
        <v>203700</v>
      </c>
      <c r="E2" s="539" t="s">
        <v>860</v>
      </c>
      <c r="F2" t="s">
        <v>859</v>
      </c>
    </row>
    <row r="3" spans="1:10">
      <c r="A3" s="36" t="s">
        <v>39</v>
      </c>
      <c r="B3" s="37" t="s">
        <v>39</v>
      </c>
      <c r="D3" t="s">
        <v>324</v>
      </c>
      <c r="F3" t="s">
        <v>917</v>
      </c>
    </row>
    <row r="4" spans="1:10">
      <c r="A4" s="38">
        <v>160079455</v>
      </c>
      <c r="B4" s="39">
        <v>1600794550000</v>
      </c>
      <c r="D4" t="s">
        <v>325</v>
      </c>
      <c r="F4" t="s">
        <v>918</v>
      </c>
    </row>
    <row r="5" spans="1:10">
      <c r="B5" s="40"/>
      <c r="D5" t="s">
        <v>326</v>
      </c>
    </row>
    <row r="6" spans="1:10">
      <c r="A6" s="36" t="s">
        <v>40</v>
      </c>
      <c r="B6" s="37" t="s">
        <v>41</v>
      </c>
      <c r="D6" t="s">
        <v>327</v>
      </c>
    </row>
    <row r="7" spans="1:10">
      <c r="A7" t="s">
        <v>1</v>
      </c>
      <c r="B7" s="40" t="s">
        <v>1</v>
      </c>
      <c r="D7" t="s">
        <v>328</v>
      </c>
    </row>
    <row r="8" spans="1:10">
      <c r="B8" s="40"/>
      <c r="D8" t="s">
        <v>329</v>
      </c>
    </row>
    <row r="9" spans="1:10">
      <c r="A9" s="36" t="s">
        <v>42</v>
      </c>
      <c r="B9" s="37" t="s">
        <v>43</v>
      </c>
      <c r="D9" t="s">
        <v>330</v>
      </c>
    </row>
    <row r="10" spans="1:10">
      <c r="A10" t="s">
        <v>44</v>
      </c>
      <c r="B10" s="40" t="s">
        <v>45</v>
      </c>
      <c r="D10" t="s">
        <v>331</v>
      </c>
    </row>
    <row r="11" spans="1:10">
      <c r="B11" s="40"/>
      <c r="D11" t="s">
        <v>332</v>
      </c>
    </row>
    <row r="12" spans="1:10">
      <c r="A12" s="36" t="s">
        <v>46</v>
      </c>
      <c r="B12" s="37" t="s">
        <v>47</v>
      </c>
      <c r="D12" t="s">
        <v>333</v>
      </c>
    </row>
    <row r="13" spans="1:10">
      <c r="A13" t="s">
        <v>48</v>
      </c>
      <c r="B13" s="41" t="s">
        <v>101</v>
      </c>
      <c r="D13" t="s">
        <v>334</v>
      </c>
    </row>
    <row r="14" spans="1:10">
      <c r="B14" s="40"/>
      <c r="D14" t="s">
        <v>335</v>
      </c>
    </row>
    <row r="15" spans="1:10">
      <c r="A15" s="36" t="s">
        <v>49</v>
      </c>
      <c r="B15" s="37" t="s">
        <v>50</v>
      </c>
      <c r="D15" t="s">
        <v>336</v>
      </c>
    </row>
    <row r="16" spans="1:10">
      <c r="A16" s="113" t="s">
        <v>921</v>
      </c>
      <c r="B16" s="42">
        <v>42929</v>
      </c>
      <c r="D16" t="s">
        <v>337</v>
      </c>
    </row>
    <row r="17" spans="1:4">
      <c r="B17" s="564" t="s">
        <v>931</v>
      </c>
      <c r="D17" t="s">
        <v>338</v>
      </c>
    </row>
    <row r="18" spans="1:4">
      <c r="A18" s="36" t="s">
        <v>51</v>
      </c>
      <c r="B18" s="40"/>
      <c r="D18" t="s">
        <v>339</v>
      </c>
    </row>
    <row r="19" spans="1:4">
      <c r="A19" s="113" t="s">
        <v>922</v>
      </c>
      <c r="B19" s="40"/>
      <c r="D19" t="s">
        <v>340</v>
      </c>
    </row>
    <row r="20" spans="1:4">
      <c r="B20" s="40"/>
      <c r="D20" t="s">
        <v>341</v>
      </c>
    </row>
    <row r="21" spans="1:4">
      <c r="A21" s="36" t="s">
        <v>52</v>
      </c>
      <c r="B21" s="40"/>
      <c r="D21" t="s">
        <v>342</v>
      </c>
    </row>
    <row r="22" spans="1:4">
      <c r="A22" t="s">
        <v>923</v>
      </c>
      <c r="B22" s="40"/>
      <c r="D22" t="s">
        <v>343</v>
      </c>
    </row>
    <row r="23" spans="1:4">
      <c r="B23" s="40"/>
      <c r="D23" t="s">
        <v>344</v>
      </c>
    </row>
    <row r="24" spans="1:4">
      <c r="A24" s="36" t="s">
        <v>53</v>
      </c>
      <c r="B24" s="40"/>
      <c r="D24" t="s">
        <v>345</v>
      </c>
    </row>
    <row r="25" spans="1:4">
      <c r="A25" t="s">
        <v>54</v>
      </c>
      <c r="B25" s="40"/>
      <c r="D25" t="s">
        <v>346</v>
      </c>
    </row>
    <row r="26" spans="1:4">
      <c r="A26" s="46"/>
      <c r="B26" s="40"/>
      <c r="D26" t="s">
        <v>347</v>
      </c>
    </row>
    <row r="27" spans="1:4">
      <c r="A27" s="43" t="s">
        <v>55</v>
      </c>
      <c r="B27" s="40"/>
      <c r="D27" t="s">
        <v>348</v>
      </c>
    </row>
    <row r="28" spans="1:4">
      <c r="A28" s="46" t="s">
        <v>56</v>
      </c>
      <c r="B28" s="40"/>
      <c r="D28" t="s">
        <v>349</v>
      </c>
    </row>
    <row r="29" spans="1:4">
      <c r="A29" s="46"/>
      <c r="B29" s="40"/>
      <c r="D29" t="s">
        <v>350</v>
      </c>
    </row>
    <row r="30" spans="1:4">
      <c r="A30" s="43" t="s">
        <v>57</v>
      </c>
      <c r="B30" s="40"/>
      <c r="D30" t="s">
        <v>351</v>
      </c>
    </row>
    <row r="31" spans="1:4">
      <c r="A31" s="114" t="s">
        <v>924</v>
      </c>
      <c r="B31" s="40"/>
      <c r="D31" t="s">
        <v>352</v>
      </c>
    </row>
    <row r="32" spans="1:4">
      <c r="A32" s="46"/>
      <c r="B32" s="40"/>
      <c r="D32" t="s">
        <v>353</v>
      </c>
    </row>
    <row r="33" spans="1:4">
      <c r="A33" s="36" t="s">
        <v>58</v>
      </c>
      <c r="B33" s="44"/>
      <c r="D33" t="s">
        <v>354</v>
      </c>
    </row>
    <row r="34" spans="1:4">
      <c r="A34" s="115" t="s">
        <v>929</v>
      </c>
      <c r="B34" s="44"/>
      <c r="D34" t="s">
        <v>355</v>
      </c>
    </row>
    <row r="35" spans="1:4">
      <c r="A35" s="32" t="s">
        <v>59</v>
      </c>
      <c r="B35" s="44"/>
      <c r="D35" t="s">
        <v>356</v>
      </c>
    </row>
    <row r="36" spans="1:4">
      <c r="A36" s="32" t="s">
        <v>60</v>
      </c>
      <c r="B36" s="44"/>
      <c r="D36" t="s">
        <v>357</v>
      </c>
    </row>
    <row r="37" spans="1:4">
      <c r="A37" s="563" t="s">
        <v>930</v>
      </c>
      <c r="B37" s="44"/>
      <c r="D37" t="s">
        <v>358</v>
      </c>
    </row>
    <row r="38" spans="1:4">
      <c r="A38" s="46"/>
      <c r="B38" s="44"/>
      <c r="D38" t="s">
        <v>359</v>
      </c>
    </row>
    <row r="39" spans="1:4">
      <c r="A39" s="43" t="s">
        <v>61</v>
      </c>
      <c r="B39" s="44"/>
      <c r="D39" t="s">
        <v>360</v>
      </c>
    </row>
    <row r="40" spans="1:4">
      <c r="A40" s="46" t="s">
        <v>62</v>
      </c>
      <c r="B40" s="44"/>
      <c r="D40" t="s">
        <v>361</v>
      </c>
    </row>
    <row r="41" spans="1:4">
      <c r="A41" s="46"/>
      <c r="B41" s="44"/>
      <c r="D41" t="s">
        <v>362</v>
      </c>
    </row>
    <row r="42" spans="1:4">
      <c r="A42" s="43" t="s">
        <v>63</v>
      </c>
      <c r="B42" s="44"/>
      <c r="D42" t="s">
        <v>363</v>
      </c>
    </row>
    <row r="43" spans="1:4">
      <c r="A43" s="46" t="s">
        <v>64</v>
      </c>
      <c r="B43" s="44"/>
      <c r="D43" t="s">
        <v>364</v>
      </c>
    </row>
    <row r="44" spans="1:4">
      <c r="A44" s="46"/>
      <c r="B44" s="44"/>
      <c r="D44" t="s">
        <v>365</v>
      </c>
    </row>
    <row r="45" spans="1:4">
      <c r="A45" s="43" t="s">
        <v>65</v>
      </c>
      <c r="B45" s="40"/>
      <c r="D45" t="s">
        <v>366</v>
      </c>
    </row>
    <row r="46" spans="1:4">
      <c r="A46" s="46" t="s">
        <v>66</v>
      </c>
      <c r="B46" s="40"/>
      <c r="D46" t="s">
        <v>367</v>
      </c>
    </row>
    <row r="47" spans="1:4">
      <c r="A47" s="46"/>
      <c r="B47" s="40"/>
      <c r="D47" t="s">
        <v>368</v>
      </c>
    </row>
    <row r="48" spans="1:4">
      <c r="A48" s="43" t="s">
        <v>67</v>
      </c>
      <c r="B48" s="40"/>
      <c r="D48" t="s">
        <v>369</v>
      </c>
    </row>
    <row r="49" spans="1:4">
      <c r="A49" s="46" t="s">
        <v>68</v>
      </c>
      <c r="B49" s="40"/>
      <c r="D49" t="s">
        <v>370</v>
      </c>
    </row>
    <row r="50" spans="1:4">
      <c r="A50" s="46"/>
      <c r="B50" s="40"/>
      <c r="D50" t="s">
        <v>371</v>
      </c>
    </row>
    <row r="51" spans="1:4">
      <c r="A51" s="45" t="s">
        <v>69</v>
      </c>
      <c r="B51" s="40"/>
      <c r="D51" t="s">
        <v>372</v>
      </c>
    </row>
    <row r="52" spans="1:4">
      <c r="A52" s="115" t="s">
        <v>929</v>
      </c>
      <c r="B52" s="40"/>
      <c r="D52" t="s">
        <v>373</v>
      </c>
    </row>
    <row r="53" spans="1:4">
      <c r="B53" s="40"/>
      <c r="D53" t="s">
        <v>374</v>
      </c>
    </row>
    <row r="54" spans="1:4">
      <c r="A54" s="36" t="s">
        <v>70</v>
      </c>
      <c r="B54" s="40"/>
      <c r="D54" t="s">
        <v>375</v>
      </c>
    </row>
    <row r="55" spans="1:4">
      <c r="A55" t="s">
        <v>607</v>
      </c>
      <c r="B55" s="40"/>
      <c r="D55" t="s">
        <v>376</v>
      </c>
    </row>
    <row r="56" spans="1:4">
      <c r="D56" t="s">
        <v>377</v>
      </c>
    </row>
    <row r="57" spans="1:4">
      <c r="D57" t="s">
        <v>378</v>
      </c>
    </row>
    <row r="58" spans="1:4">
      <c r="D58" t="s">
        <v>379</v>
      </c>
    </row>
    <row r="59" spans="1:4">
      <c r="D59" t="s">
        <v>380</v>
      </c>
    </row>
    <row r="60" spans="1:4">
      <c r="D60" t="s">
        <v>381</v>
      </c>
    </row>
    <row r="61" spans="1:4">
      <c r="D61" t="s">
        <v>382</v>
      </c>
    </row>
    <row r="62" spans="1:4">
      <c r="D62" t="s">
        <v>383</v>
      </c>
    </row>
    <row r="63" spans="1:4">
      <c r="D63" t="s">
        <v>384</v>
      </c>
    </row>
    <row r="64" spans="1:4">
      <c r="D64" t="s">
        <v>385</v>
      </c>
    </row>
    <row r="65" spans="4:4">
      <c r="D65" t="s">
        <v>386</v>
      </c>
    </row>
    <row r="66" spans="4:4">
      <c r="D66" t="s">
        <v>387</v>
      </c>
    </row>
    <row r="67" spans="4:4">
      <c r="D67" t="s">
        <v>388</v>
      </c>
    </row>
    <row r="68" spans="4:4">
      <c r="D68" t="s">
        <v>389</v>
      </c>
    </row>
    <row r="69" spans="4:4">
      <c r="D69" t="s">
        <v>390</v>
      </c>
    </row>
    <row r="70" spans="4:4">
      <c r="D70" t="s">
        <v>391</v>
      </c>
    </row>
    <row r="71" spans="4:4">
      <c r="D71" t="s">
        <v>392</v>
      </c>
    </row>
    <row r="72" spans="4:4">
      <c r="D72" t="s">
        <v>393</v>
      </c>
    </row>
    <row r="73" spans="4:4">
      <c r="D73" t="s">
        <v>394</v>
      </c>
    </row>
    <row r="74" spans="4:4">
      <c r="D74" t="s">
        <v>395</v>
      </c>
    </row>
    <row r="75" spans="4:4">
      <c r="D75" t="s">
        <v>396</v>
      </c>
    </row>
    <row r="76" spans="4:4">
      <c r="D76" t="s">
        <v>397</v>
      </c>
    </row>
    <row r="77" spans="4:4">
      <c r="D77" t="s">
        <v>396</v>
      </c>
    </row>
    <row r="78" spans="4:4">
      <c r="D78" t="s">
        <v>398</v>
      </c>
    </row>
    <row r="79" spans="4:4">
      <c r="D79" t="s">
        <v>399</v>
      </c>
    </row>
    <row r="80" spans="4:4">
      <c r="D80" t="s">
        <v>400</v>
      </c>
    </row>
    <row r="81" spans="4:4">
      <c r="D81" t="s">
        <v>401</v>
      </c>
    </row>
    <row r="82" spans="4:4">
      <c r="D82" t="s">
        <v>402</v>
      </c>
    </row>
    <row r="83" spans="4:4">
      <c r="D83" t="s">
        <v>403</v>
      </c>
    </row>
    <row r="84" spans="4:4">
      <c r="D84" t="s">
        <v>404</v>
      </c>
    </row>
    <row r="85" spans="4:4">
      <c r="D85" t="s">
        <v>405</v>
      </c>
    </row>
    <row r="86" spans="4:4">
      <c r="D86" t="s">
        <v>406</v>
      </c>
    </row>
    <row r="87" spans="4:4">
      <c r="D87" t="s">
        <v>407</v>
      </c>
    </row>
    <row r="88" spans="4:4">
      <c r="D88" t="s">
        <v>408</v>
      </c>
    </row>
    <row r="89" spans="4:4">
      <c r="D89" t="s">
        <v>409</v>
      </c>
    </row>
    <row r="90" spans="4:4">
      <c r="D90" t="s">
        <v>410</v>
      </c>
    </row>
    <row r="91" spans="4:4">
      <c r="D91" t="s">
        <v>431</v>
      </c>
    </row>
    <row r="92" spans="4:4">
      <c r="D92" t="s">
        <v>432</v>
      </c>
    </row>
    <row r="93" spans="4:4">
      <c r="D93" s="333" t="s">
        <v>865</v>
      </c>
    </row>
    <row r="94" spans="4:4">
      <c r="D94" t="s">
        <v>429</v>
      </c>
    </row>
    <row r="95" spans="4:4">
      <c r="D95" t="s">
        <v>430</v>
      </c>
    </row>
    <row r="96" spans="4:4">
      <c r="D96" t="s">
        <v>433</v>
      </c>
    </row>
    <row r="97" spans="4:4">
      <c r="D97" t="s">
        <v>434</v>
      </c>
    </row>
    <row r="98" spans="4:4">
      <c r="D98" t="s">
        <v>435</v>
      </c>
    </row>
    <row r="99" spans="4:4">
      <c r="D99" t="s">
        <v>436</v>
      </c>
    </row>
    <row r="100" spans="4:4">
      <c r="D100" t="s">
        <v>437</v>
      </c>
    </row>
    <row r="101" spans="4:4">
      <c r="D101" t="s">
        <v>438</v>
      </c>
    </row>
    <row r="102" spans="4:4">
      <c r="D102" t="s">
        <v>439</v>
      </c>
    </row>
    <row r="103" spans="4:4">
      <c r="D103" t="s">
        <v>440</v>
      </c>
    </row>
    <row r="104" spans="4:4">
      <c r="D104" t="s">
        <v>441</v>
      </c>
    </row>
    <row r="105" spans="4:4">
      <c r="D105" t="s">
        <v>442</v>
      </c>
    </row>
    <row r="106" spans="4:4">
      <c r="D106" t="s">
        <v>443</v>
      </c>
    </row>
    <row r="107" spans="4:4">
      <c r="D107" t="s">
        <v>444</v>
      </c>
    </row>
    <row r="108" spans="4:4">
      <c r="D108" s="333" t="s">
        <v>866</v>
      </c>
    </row>
    <row r="109" spans="4:4">
      <c r="D109" t="s">
        <v>826</v>
      </c>
    </row>
    <row r="110" spans="4:4">
      <c r="D110" t="s">
        <v>827</v>
      </c>
    </row>
    <row r="111" spans="4:4">
      <c r="D111" t="s">
        <v>828</v>
      </c>
    </row>
    <row r="112" spans="4:4">
      <c r="D112" t="s">
        <v>829</v>
      </c>
    </row>
    <row r="113" spans="4:4">
      <c r="D113" t="s">
        <v>830</v>
      </c>
    </row>
    <row r="114" spans="4:4">
      <c r="D114" t="s">
        <v>831</v>
      </c>
    </row>
    <row r="115" spans="4:4">
      <c r="D115" t="s">
        <v>832</v>
      </c>
    </row>
    <row r="116" spans="4:4">
      <c r="D116" t="s">
        <v>833</v>
      </c>
    </row>
    <row r="117" spans="4:4">
      <c r="D117" t="s">
        <v>834</v>
      </c>
    </row>
    <row r="118" spans="4:4">
      <c r="D118" t="s">
        <v>835</v>
      </c>
    </row>
    <row r="119" spans="4:4">
      <c r="D119" t="s">
        <v>836</v>
      </c>
    </row>
    <row r="120" spans="4:4">
      <c r="D120" t="s">
        <v>837</v>
      </c>
    </row>
    <row r="121" spans="4:4">
      <c r="D121" t="s">
        <v>838</v>
      </c>
    </row>
    <row r="122" spans="4:4">
      <c r="D122" t="s">
        <v>839</v>
      </c>
    </row>
    <row r="123" spans="4:4">
      <c r="D123" t="s">
        <v>840</v>
      </c>
    </row>
    <row r="124" spans="4:4">
      <c r="D124" t="s">
        <v>841</v>
      </c>
    </row>
    <row r="125" spans="4:4">
      <c r="D125" t="s">
        <v>842</v>
      </c>
    </row>
    <row r="126" spans="4:4">
      <c r="D126" t="s">
        <v>843</v>
      </c>
    </row>
    <row r="127" spans="4:4">
      <c r="D127" t="s">
        <v>844</v>
      </c>
    </row>
    <row r="128" spans="4:4">
      <c r="D128" t="s">
        <v>845</v>
      </c>
    </row>
    <row r="129" spans="4:4">
      <c r="D129" t="s">
        <v>846</v>
      </c>
    </row>
    <row r="130" spans="4:4">
      <c r="D130" t="s">
        <v>847</v>
      </c>
    </row>
    <row r="131" spans="4:4">
      <c r="D131" t="s">
        <v>848</v>
      </c>
    </row>
    <row r="132" spans="4:4">
      <c r="D132" t="s">
        <v>851</v>
      </c>
    </row>
    <row r="133" spans="4:4">
      <c r="D133" t="s">
        <v>849</v>
      </c>
    </row>
    <row r="134" spans="4:4">
      <c r="D134" t="s">
        <v>850</v>
      </c>
    </row>
    <row r="135" spans="4:4">
      <c r="D135" t="s">
        <v>852</v>
      </c>
    </row>
    <row r="136" spans="4:4">
      <c r="D136" t="s">
        <v>853</v>
      </c>
    </row>
    <row r="137" spans="4:4">
      <c r="D137" t="s">
        <v>854</v>
      </c>
    </row>
    <row r="138" spans="4:4">
      <c r="D138" t="s">
        <v>857</v>
      </c>
    </row>
    <row r="139" spans="4:4">
      <c r="D139" t="s">
        <v>855</v>
      </c>
    </row>
    <row r="140" spans="4:4">
      <c r="D140" t="s">
        <v>856</v>
      </c>
    </row>
  </sheetData>
  <sortState xmlns:xlrd2="http://schemas.microsoft.com/office/spreadsheetml/2017/richdata2" ref="E1:F85">
    <sortCondition ref="E1"/>
  </sortState>
  <phoneticPr fontId="0" type="noConversion"/>
  <hyperlinks>
    <hyperlink ref="A37" r:id="rId1" xr:uid="{00000000-0004-0000-0F00-000000000000}"/>
    <hyperlink ref="B17" r:id="rId2" xr:uid="{00000000-0004-0000-0F00-000001000000}"/>
  </hyperlinks>
  <pageMargins left="0.25" right="0.25" top="1" bottom="1" header="0.5" footer="0.5"/>
  <pageSetup scale="73" orientation="portrait" r:id="rId3"/>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pageSetUpPr fitToPage="1"/>
  </sheetPr>
  <dimension ref="A1:I537"/>
  <sheetViews>
    <sheetView workbookViewId="0">
      <selection activeCell="B1" sqref="B1"/>
    </sheetView>
  </sheetViews>
  <sheetFormatPr defaultColWidth="9.140625" defaultRowHeight="14.25"/>
  <cols>
    <col min="1" max="1" width="76.140625" style="510" bestFit="1" customWidth="1"/>
    <col min="2" max="2" width="15" style="510" customWidth="1"/>
    <col min="3" max="3" width="22" style="510" customWidth="1"/>
    <col min="4" max="4" width="11.28515625" style="510" customWidth="1"/>
    <col min="5" max="5" width="12.5703125" style="510" customWidth="1"/>
    <col min="6" max="6" width="11.85546875" style="510" bestFit="1" customWidth="1"/>
    <col min="7" max="7" width="9.85546875" style="510" bestFit="1" customWidth="1"/>
    <col min="8" max="16384" width="9.140625" style="510"/>
  </cols>
  <sheetData>
    <row r="1" spans="1:5" ht="15">
      <c r="A1" s="513" t="s">
        <v>821</v>
      </c>
      <c r="B1" s="537" t="s">
        <v>619</v>
      </c>
    </row>
    <row r="2" spans="1:5">
      <c r="A2" s="510" t="s">
        <v>820</v>
      </c>
      <c r="B2" s="523">
        <v>355</v>
      </c>
      <c r="C2" s="510" t="s">
        <v>819</v>
      </c>
    </row>
    <row r="4" spans="1:5" ht="14.25" customHeight="1">
      <c r="A4" s="536" t="s">
        <v>21</v>
      </c>
      <c r="B4" s="537" t="s">
        <v>619</v>
      </c>
      <c r="C4" s="536"/>
      <c r="E4" s="50"/>
    </row>
    <row r="5" spans="1:5" ht="14.25" customHeight="1">
      <c r="A5" s="508" t="s">
        <v>22</v>
      </c>
      <c r="B5" s="508" t="s">
        <v>818</v>
      </c>
      <c r="C5" s="506" t="s">
        <v>764</v>
      </c>
    </row>
    <row r="6" spans="1:5" ht="14.25" customHeight="1">
      <c r="A6" s="505" t="s">
        <v>23</v>
      </c>
      <c r="B6" s="520">
        <v>77</v>
      </c>
      <c r="C6" s="522">
        <v>125</v>
      </c>
      <c r="D6" s="535"/>
      <c r="E6" s="535"/>
    </row>
    <row r="7" spans="1:5" ht="14.25" customHeight="1">
      <c r="A7" s="505" t="s">
        <v>110</v>
      </c>
      <c r="B7" s="520">
        <v>60</v>
      </c>
      <c r="C7" s="522">
        <v>125</v>
      </c>
      <c r="D7" s="535"/>
      <c r="E7" s="535"/>
    </row>
    <row r="8" spans="1:5" ht="14.25" customHeight="1">
      <c r="A8" s="505" t="s">
        <v>24</v>
      </c>
      <c r="B8" s="520">
        <v>15</v>
      </c>
      <c r="C8" s="522">
        <v>125</v>
      </c>
      <c r="D8" s="535"/>
      <c r="E8" s="535"/>
    </row>
    <row r="9" spans="1:5" ht="14.25" customHeight="1">
      <c r="A9" s="505" t="s">
        <v>25</v>
      </c>
      <c r="B9" s="520">
        <v>15</v>
      </c>
      <c r="C9" s="522">
        <v>125</v>
      </c>
      <c r="D9" s="535"/>
      <c r="E9" s="535"/>
    </row>
    <row r="10" spans="1:5" ht="14.25" customHeight="1">
      <c r="A10" s="505" t="s">
        <v>26</v>
      </c>
      <c r="B10" s="520">
        <v>15</v>
      </c>
      <c r="C10" s="522">
        <v>125</v>
      </c>
      <c r="D10" s="535"/>
      <c r="E10" s="535"/>
    </row>
    <row r="11" spans="1:5" ht="14.25" customHeight="1">
      <c r="A11" s="505" t="s">
        <v>27</v>
      </c>
      <c r="B11" s="520">
        <v>16</v>
      </c>
      <c r="C11" s="522">
        <v>125</v>
      </c>
      <c r="D11" s="535"/>
      <c r="E11" s="535"/>
    </row>
    <row r="12" spans="1:5" ht="14.25" customHeight="1">
      <c r="A12" s="505" t="s">
        <v>111</v>
      </c>
      <c r="B12" s="520">
        <v>20</v>
      </c>
      <c r="C12" s="522">
        <v>125</v>
      </c>
      <c r="D12" s="535"/>
      <c r="E12" s="535"/>
    </row>
    <row r="13" spans="1:5" ht="14.25" customHeight="1">
      <c r="A13" s="505" t="s">
        <v>112</v>
      </c>
      <c r="B13" s="520">
        <v>20</v>
      </c>
      <c r="C13" s="522">
        <v>125</v>
      </c>
      <c r="D13" s="535"/>
      <c r="E13" s="535"/>
    </row>
    <row r="14" spans="1:5" ht="14.25" customHeight="1">
      <c r="A14" s="505" t="s">
        <v>817</v>
      </c>
      <c r="B14" s="520">
        <v>25</v>
      </c>
      <c r="C14" s="522">
        <v>125</v>
      </c>
      <c r="D14" s="535"/>
      <c r="E14" s="535"/>
    </row>
    <row r="15" spans="1:5" ht="14.25" customHeight="1">
      <c r="A15" s="505" t="s">
        <v>113</v>
      </c>
      <c r="B15" s="520">
        <v>18</v>
      </c>
      <c r="C15" s="522">
        <v>125</v>
      </c>
      <c r="D15" s="535"/>
      <c r="E15" s="535"/>
    </row>
    <row r="16" spans="1:5" ht="14.25" customHeight="1">
      <c r="A16" s="505" t="s">
        <v>114</v>
      </c>
      <c r="B16" s="520">
        <v>18</v>
      </c>
      <c r="C16" s="522">
        <v>125</v>
      </c>
      <c r="D16" s="535"/>
      <c r="E16" s="535"/>
    </row>
    <row r="17" spans="1:9" ht="14.25" customHeight="1">
      <c r="A17" s="505" t="s">
        <v>28</v>
      </c>
      <c r="B17" s="520"/>
      <c r="C17" s="522">
        <v>125</v>
      </c>
      <c r="E17" s="535"/>
    </row>
    <row r="18" spans="1:9" ht="14.25" customHeight="1">
      <c r="A18" s="508" t="s">
        <v>816</v>
      </c>
      <c r="B18" s="508" t="s">
        <v>31</v>
      </c>
      <c r="C18" s="506" t="s">
        <v>611</v>
      </c>
      <c r="E18" s="50"/>
    </row>
    <row r="19" spans="1:9" ht="14.25" customHeight="1">
      <c r="A19" s="505" t="s">
        <v>815</v>
      </c>
      <c r="B19" s="520">
        <v>2</v>
      </c>
      <c r="C19" s="392" t="s">
        <v>806</v>
      </c>
      <c r="E19" s="50"/>
    </row>
    <row r="20" spans="1:9" ht="14.25" customHeight="1">
      <c r="A20" s="505" t="s">
        <v>814</v>
      </c>
      <c r="B20" s="520">
        <v>250</v>
      </c>
      <c r="C20" s="392" t="s">
        <v>806</v>
      </c>
      <c r="E20" s="50"/>
    </row>
    <row r="21" spans="1:9" ht="14.25" customHeight="1">
      <c r="A21" s="505" t="s">
        <v>813</v>
      </c>
      <c r="B21" s="520">
        <v>80</v>
      </c>
      <c r="C21" s="392" t="s">
        <v>806</v>
      </c>
      <c r="E21" s="50"/>
    </row>
    <row r="22" spans="1:9" ht="14.25" customHeight="1">
      <c r="A22" s="505" t="s">
        <v>812</v>
      </c>
      <c r="B22" s="520">
        <v>1</v>
      </c>
      <c r="C22" s="392" t="s">
        <v>806</v>
      </c>
      <c r="E22" s="50"/>
    </row>
    <row r="23" spans="1:9" ht="14.25" customHeight="1">
      <c r="A23" s="505" t="s">
        <v>811</v>
      </c>
      <c r="B23" s="520">
        <v>2</v>
      </c>
      <c r="C23" s="392" t="s">
        <v>806</v>
      </c>
      <c r="E23" s="50"/>
    </row>
    <row r="24" spans="1:9" ht="14.25" customHeight="1">
      <c r="A24" s="505" t="s">
        <v>810</v>
      </c>
      <c r="B24" s="520">
        <v>1</v>
      </c>
      <c r="C24" s="392" t="s">
        <v>806</v>
      </c>
      <c r="E24" s="50"/>
    </row>
    <row r="25" spans="1:9" ht="14.25" customHeight="1">
      <c r="A25" s="505" t="s">
        <v>809</v>
      </c>
      <c r="B25" s="520">
        <v>500</v>
      </c>
      <c r="C25" s="392" t="s">
        <v>806</v>
      </c>
      <c r="E25" s="50"/>
    </row>
    <row r="26" spans="1:9" ht="14.25" customHeight="1">
      <c r="A26" s="505" t="s">
        <v>808</v>
      </c>
      <c r="B26" s="505" t="s">
        <v>807</v>
      </c>
      <c r="C26" s="392" t="s">
        <v>806</v>
      </c>
      <c r="E26" s="50"/>
    </row>
    <row r="27" spans="1:9" ht="14.25" customHeight="1" thickBot="1">
      <c r="A27" s="72"/>
      <c r="B27" s="72"/>
      <c r="C27" s="73"/>
      <c r="D27" s="516"/>
      <c r="E27" s="75"/>
    </row>
    <row r="28" spans="1:9" ht="14.25" customHeight="1">
      <c r="A28" s="47" t="s">
        <v>29</v>
      </c>
      <c r="B28" s="50" t="s">
        <v>619</v>
      </c>
      <c r="C28" s="48"/>
      <c r="D28" s="50"/>
      <c r="F28" s="50"/>
      <c r="G28" s="50"/>
    </row>
    <row r="29" spans="1:9" ht="14.25" customHeight="1">
      <c r="A29" s="508" t="s">
        <v>805</v>
      </c>
      <c r="B29" s="71" t="s">
        <v>767</v>
      </c>
      <c r="C29" s="71" t="s">
        <v>766</v>
      </c>
      <c r="D29" s="71" t="s">
        <v>765</v>
      </c>
      <c r="E29" s="71" t="s">
        <v>87</v>
      </c>
      <c r="F29" s="71" t="s">
        <v>764</v>
      </c>
      <c r="I29" s="506"/>
    </row>
    <row r="30" spans="1:9" ht="14.25" customHeight="1">
      <c r="A30" s="224" t="s">
        <v>804</v>
      </c>
      <c r="B30" s="531">
        <v>350</v>
      </c>
      <c r="C30" s="530"/>
      <c r="D30" s="532"/>
      <c r="E30" s="530">
        <v>270</v>
      </c>
      <c r="F30" s="530">
        <v>80</v>
      </c>
      <c r="G30" s="511"/>
      <c r="I30" s="391"/>
    </row>
    <row r="31" spans="1:9" ht="14.25" customHeight="1">
      <c r="A31" s="224" t="s">
        <v>803</v>
      </c>
      <c r="B31" s="531">
        <v>55</v>
      </c>
      <c r="C31" s="530">
        <v>44</v>
      </c>
      <c r="D31" s="532">
        <v>28</v>
      </c>
      <c r="E31" s="530">
        <v>270</v>
      </c>
      <c r="F31" s="530">
        <v>80</v>
      </c>
      <c r="G31" s="511"/>
      <c r="I31" s="391"/>
    </row>
    <row r="32" spans="1:9" ht="14.25" customHeight="1">
      <c r="A32" s="224" t="s">
        <v>802</v>
      </c>
      <c r="B32" s="531">
        <v>61</v>
      </c>
      <c r="C32" s="530">
        <v>49</v>
      </c>
      <c r="D32" s="532">
        <v>31</v>
      </c>
      <c r="E32" s="530">
        <v>270</v>
      </c>
      <c r="F32" s="530">
        <v>80</v>
      </c>
      <c r="G32" s="511"/>
      <c r="I32" s="391"/>
    </row>
    <row r="33" spans="1:9" ht="14.25" customHeight="1">
      <c r="A33" s="534" t="s">
        <v>801</v>
      </c>
      <c r="B33" s="71" t="s">
        <v>767</v>
      </c>
      <c r="C33" s="71" t="s">
        <v>766</v>
      </c>
      <c r="D33" s="71" t="s">
        <v>765</v>
      </c>
      <c r="E33" s="71" t="s">
        <v>87</v>
      </c>
      <c r="F33" s="71" t="s">
        <v>764</v>
      </c>
      <c r="G33" s="511"/>
      <c r="I33" s="391"/>
    </row>
    <row r="34" spans="1:9" ht="14.25" customHeight="1">
      <c r="A34" s="224" t="s">
        <v>800</v>
      </c>
      <c r="B34" s="530">
        <v>260</v>
      </c>
      <c r="C34" s="530">
        <v>260</v>
      </c>
      <c r="D34" s="530">
        <v>260</v>
      </c>
      <c r="E34" s="530">
        <v>240</v>
      </c>
      <c r="F34" s="530">
        <v>80</v>
      </c>
      <c r="G34" s="511"/>
      <c r="I34" s="391"/>
    </row>
    <row r="35" spans="1:9" ht="14.25" customHeight="1">
      <c r="A35" s="224" t="s">
        <v>799</v>
      </c>
      <c r="B35" s="530">
        <v>250</v>
      </c>
      <c r="C35" s="530">
        <v>250</v>
      </c>
      <c r="D35" s="530">
        <v>250</v>
      </c>
      <c r="E35" s="530">
        <v>270</v>
      </c>
      <c r="F35" s="530">
        <v>80</v>
      </c>
      <c r="G35" s="511"/>
      <c r="I35" s="391"/>
    </row>
    <row r="36" spans="1:9" ht="14.25" customHeight="1">
      <c r="A36" s="224" t="s">
        <v>798</v>
      </c>
      <c r="B36" s="530">
        <v>250</v>
      </c>
      <c r="C36" s="530">
        <v>250</v>
      </c>
      <c r="D36" s="530">
        <v>250</v>
      </c>
      <c r="E36" s="530">
        <v>270</v>
      </c>
      <c r="F36" s="530">
        <v>80</v>
      </c>
      <c r="G36" s="511"/>
      <c r="I36" s="391"/>
    </row>
    <row r="37" spans="1:9" ht="14.25" customHeight="1">
      <c r="A37" s="224" t="s">
        <v>797</v>
      </c>
      <c r="B37" s="530">
        <v>80</v>
      </c>
      <c r="C37" s="530">
        <v>80</v>
      </c>
      <c r="D37" s="530">
        <v>80</v>
      </c>
      <c r="E37" s="530">
        <v>160</v>
      </c>
      <c r="F37" s="530">
        <v>80</v>
      </c>
      <c r="G37" s="511"/>
      <c r="I37" s="391"/>
    </row>
    <row r="38" spans="1:9" ht="14.25" customHeight="1">
      <c r="A38" s="224" t="s">
        <v>796</v>
      </c>
      <c r="B38" s="530">
        <v>40</v>
      </c>
      <c r="C38" s="530">
        <v>40</v>
      </c>
      <c r="D38" s="530">
        <v>40</v>
      </c>
      <c r="E38" s="530">
        <v>80</v>
      </c>
      <c r="F38" s="530">
        <v>80</v>
      </c>
      <c r="G38" s="511"/>
      <c r="I38" s="391"/>
    </row>
    <row r="39" spans="1:9" ht="14.25" customHeight="1">
      <c r="A39" s="224" t="s">
        <v>795</v>
      </c>
      <c r="B39" s="530">
        <v>35</v>
      </c>
      <c r="C39" s="530">
        <v>28</v>
      </c>
      <c r="D39" s="530">
        <v>18</v>
      </c>
      <c r="E39" s="530">
        <v>80</v>
      </c>
      <c r="F39" s="530">
        <v>80</v>
      </c>
      <c r="G39" s="511"/>
      <c r="I39" s="391"/>
    </row>
    <row r="40" spans="1:9" ht="14.25" customHeight="1">
      <c r="A40" s="224" t="s">
        <v>794</v>
      </c>
      <c r="B40" s="530">
        <v>30</v>
      </c>
      <c r="C40" s="530">
        <v>24</v>
      </c>
      <c r="D40" s="530">
        <v>15</v>
      </c>
      <c r="E40" s="530">
        <v>80</v>
      </c>
      <c r="F40" s="530">
        <v>80</v>
      </c>
      <c r="G40" s="511"/>
      <c r="I40" s="391"/>
    </row>
    <row r="41" spans="1:9" ht="14.25" customHeight="1">
      <c r="A41" s="224" t="s">
        <v>127</v>
      </c>
      <c r="B41" s="530">
        <v>30</v>
      </c>
      <c r="C41" s="530">
        <v>24</v>
      </c>
      <c r="D41" s="530">
        <v>15</v>
      </c>
      <c r="E41" s="530">
        <v>80</v>
      </c>
      <c r="F41" s="530">
        <v>80</v>
      </c>
      <c r="G41" s="511"/>
      <c r="I41" s="391"/>
    </row>
    <row r="42" spans="1:9" ht="14.25" customHeight="1">
      <c r="A42" s="224" t="s">
        <v>793</v>
      </c>
      <c r="B42" s="530">
        <v>25</v>
      </c>
      <c r="C42" s="530">
        <v>25</v>
      </c>
      <c r="D42" s="530">
        <v>25</v>
      </c>
      <c r="E42" s="530">
        <v>80</v>
      </c>
      <c r="F42" s="530">
        <v>80</v>
      </c>
      <c r="G42" s="511"/>
      <c r="I42" s="391"/>
    </row>
    <row r="43" spans="1:9" ht="14.25" customHeight="1">
      <c r="A43" s="224" t="s">
        <v>792</v>
      </c>
      <c r="B43" s="530">
        <v>30</v>
      </c>
      <c r="C43" s="530">
        <v>24</v>
      </c>
      <c r="D43" s="530">
        <v>15</v>
      </c>
      <c r="E43" s="530">
        <v>260</v>
      </c>
      <c r="F43" s="530">
        <v>80</v>
      </c>
      <c r="G43" s="511"/>
      <c r="I43" s="391"/>
    </row>
    <row r="44" spans="1:9" ht="14.25" customHeight="1">
      <c r="A44" s="224" t="s">
        <v>791</v>
      </c>
      <c r="B44" s="530">
        <v>30</v>
      </c>
      <c r="C44" s="530">
        <v>24</v>
      </c>
      <c r="D44" s="530">
        <v>15</v>
      </c>
      <c r="E44" s="530">
        <v>260</v>
      </c>
      <c r="F44" s="530">
        <v>80</v>
      </c>
      <c r="G44" s="511"/>
      <c r="I44" s="391"/>
    </row>
    <row r="45" spans="1:9" ht="14.25" customHeight="1">
      <c r="A45" s="508" t="s">
        <v>467</v>
      </c>
      <c r="B45" s="71" t="s">
        <v>767</v>
      </c>
      <c r="C45" s="71" t="s">
        <v>766</v>
      </c>
      <c r="D45" s="71" t="s">
        <v>765</v>
      </c>
      <c r="E45" s="71" t="s">
        <v>87</v>
      </c>
      <c r="F45" s="71" t="s">
        <v>764</v>
      </c>
      <c r="G45" s="511"/>
      <c r="I45" s="506"/>
    </row>
    <row r="46" spans="1:9" ht="14.25" customHeight="1">
      <c r="A46" s="224" t="s">
        <v>790</v>
      </c>
      <c r="B46" s="531">
        <v>72</v>
      </c>
      <c r="C46" s="530">
        <v>58</v>
      </c>
      <c r="D46" s="530">
        <v>36</v>
      </c>
      <c r="E46" s="530">
        <v>500</v>
      </c>
      <c r="F46" s="530">
        <v>100</v>
      </c>
      <c r="G46" s="50"/>
      <c r="I46" s="48"/>
    </row>
    <row r="47" spans="1:9" ht="14.25" customHeight="1">
      <c r="A47" s="224" t="s">
        <v>789</v>
      </c>
      <c r="B47" s="531">
        <v>61</v>
      </c>
      <c r="C47" s="530">
        <v>49</v>
      </c>
      <c r="D47" s="532">
        <v>31</v>
      </c>
      <c r="E47" s="530">
        <v>400</v>
      </c>
      <c r="F47" s="530">
        <v>100</v>
      </c>
      <c r="G47" s="511"/>
      <c r="I47" s="48"/>
    </row>
    <row r="48" spans="1:9" ht="14.25" customHeight="1">
      <c r="A48" s="224" t="s">
        <v>117</v>
      </c>
      <c r="B48" s="531">
        <v>61</v>
      </c>
      <c r="C48" s="530">
        <v>49</v>
      </c>
      <c r="D48" s="532">
        <v>31</v>
      </c>
      <c r="E48" s="530">
        <v>400</v>
      </c>
      <c r="F48" s="530">
        <v>100</v>
      </c>
      <c r="G48" s="511"/>
      <c r="I48" s="48"/>
    </row>
    <row r="49" spans="1:9" ht="14.25" customHeight="1">
      <c r="A49" s="224" t="s">
        <v>118</v>
      </c>
      <c r="B49" s="531">
        <v>46</v>
      </c>
      <c r="C49" s="530">
        <v>37</v>
      </c>
      <c r="D49" s="532">
        <v>23</v>
      </c>
      <c r="E49" s="530">
        <v>300</v>
      </c>
      <c r="F49" s="530">
        <v>100</v>
      </c>
      <c r="G49" s="511"/>
      <c r="I49" s="48"/>
    </row>
    <row r="50" spans="1:9" ht="14.25" customHeight="1">
      <c r="A50" s="224" t="s">
        <v>788</v>
      </c>
      <c r="B50" s="531">
        <v>41</v>
      </c>
      <c r="C50" s="530">
        <v>33</v>
      </c>
      <c r="D50" s="532">
        <v>21</v>
      </c>
      <c r="E50" s="530">
        <v>200</v>
      </c>
      <c r="F50" s="530">
        <v>100</v>
      </c>
      <c r="G50" s="511"/>
      <c r="I50" s="48"/>
    </row>
    <row r="51" spans="1:9" ht="14.25" customHeight="1">
      <c r="A51" s="508" t="s">
        <v>468</v>
      </c>
      <c r="B51" s="71" t="s">
        <v>767</v>
      </c>
      <c r="C51" s="71" t="s">
        <v>766</v>
      </c>
      <c r="D51" s="71" t="s">
        <v>765</v>
      </c>
      <c r="E51" s="71" t="s">
        <v>87</v>
      </c>
      <c r="F51" s="71" t="s">
        <v>764</v>
      </c>
      <c r="G51" s="511"/>
      <c r="I51" s="506"/>
    </row>
    <row r="52" spans="1:9" ht="14.25" customHeight="1">
      <c r="A52" s="505" t="s">
        <v>787</v>
      </c>
      <c r="B52" s="533">
        <v>55</v>
      </c>
      <c r="C52" s="530">
        <v>44</v>
      </c>
      <c r="D52" s="532">
        <v>28</v>
      </c>
      <c r="E52" s="530">
        <v>150</v>
      </c>
      <c r="F52" s="530">
        <v>50</v>
      </c>
      <c r="G52" s="511"/>
      <c r="I52" s="48"/>
    </row>
    <row r="53" spans="1:9" ht="14.25" customHeight="1">
      <c r="A53" s="505" t="s">
        <v>786</v>
      </c>
      <c r="B53" s="533">
        <v>46</v>
      </c>
      <c r="C53" s="530">
        <v>37</v>
      </c>
      <c r="D53" s="532">
        <v>23</v>
      </c>
      <c r="E53" s="530">
        <v>150</v>
      </c>
      <c r="F53" s="530">
        <v>50</v>
      </c>
      <c r="G53" s="511"/>
      <c r="I53" s="48"/>
    </row>
    <row r="54" spans="1:9" ht="14.25" customHeight="1">
      <c r="A54" s="505" t="s">
        <v>115</v>
      </c>
      <c r="B54" s="533">
        <v>46</v>
      </c>
      <c r="C54" s="530">
        <v>37</v>
      </c>
      <c r="D54" s="532">
        <v>23</v>
      </c>
      <c r="E54" s="530">
        <v>150</v>
      </c>
      <c r="F54" s="530">
        <v>50</v>
      </c>
      <c r="G54" s="511"/>
      <c r="I54" s="48"/>
    </row>
    <row r="55" spans="1:9" ht="14.25" customHeight="1">
      <c r="A55" s="505" t="s">
        <v>116</v>
      </c>
      <c r="B55" s="533">
        <v>46</v>
      </c>
      <c r="C55" s="530">
        <v>32</v>
      </c>
      <c r="D55" s="532">
        <v>23</v>
      </c>
      <c r="E55" s="530">
        <v>150</v>
      </c>
      <c r="F55" s="530">
        <v>50</v>
      </c>
      <c r="G55" s="511"/>
      <c r="I55" s="48"/>
    </row>
    <row r="56" spans="1:9" ht="14.25" customHeight="1">
      <c r="A56" s="505" t="s">
        <v>785</v>
      </c>
      <c r="B56" s="533">
        <v>43</v>
      </c>
      <c r="C56" s="530">
        <v>35</v>
      </c>
      <c r="D56" s="532">
        <v>22</v>
      </c>
      <c r="E56" s="530">
        <v>100</v>
      </c>
      <c r="F56" s="530">
        <v>50</v>
      </c>
      <c r="G56" s="511"/>
      <c r="I56" s="48"/>
    </row>
    <row r="57" spans="1:9" ht="14.25" customHeight="1">
      <c r="A57" s="508" t="s">
        <v>784</v>
      </c>
      <c r="B57" s="71" t="s">
        <v>767</v>
      </c>
      <c r="C57" s="71" t="s">
        <v>766</v>
      </c>
      <c r="D57" s="71" t="s">
        <v>765</v>
      </c>
      <c r="E57" s="71" t="s">
        <v>87</v>
      </c>
      <c r="F57" s="71" t="s">
        <v>764</v>
      </c>
      <c r="G57" s="511"/>
      <c r="I57" s="506"/>
    </row>
    <row r="58" spans="1:9" ht="14.25" customHeight="1">
      <c r="A58" s="224" t="s">
        <v>469</v>
      </c>
      <c r="B58" s="531">
        <v>72</v>
      </c>
      <c r="C58" s="530">
        <v>58</v>
      </c>
      <c r="D58" s="532">
        <v>36</v>
      </c>
      <c r="E58" s="530">
        <v>300</v>
      </c>
      <c r="F58" s="530">
        <v>100</v>
      </c>
      <c r="G58" s="511"/>
      <c r="I58" s="48"/>
    </row>
    <row r="59" spans="1:9" ht="14.25" customHeight="1">
      <c r="A59" s="224" t="s">
        <v>472</v>
      </c>
      <c r="B59" s="531">
        <v>18</v>
      </c>
      <c r="C59" s="530">
        <v>14</v>
      </c>
      <c r="D59" s="532">
        <v>9</v>
      </c>
      <c r="E59" s="530">
        <v>50</v>
      </c>
      <c r="F59" s="530">
        <v>50</v>
      </c>
      <c r="G59" s="511"/>
      <c r="I59" s="48"/>
    </row>
    <row r="60" spans="1:9" ht="14.25" customHeight="1">
      <c r="A60" s="224" t="s">
        <v>471</v>
      </c>
      <c r="B60" s="531">
        <v>18</v>
      </c>
      <c r="C60" s="530">
        <v>14</v>
      </c>
      <c r="D60" s="532">
        <v>9</v>
      </c>
      <c r="E60" s="530">
        <v>50</v>
      </c>
      <c r="F60" s="530">
        <v>50</v>
      </c>
      <c r="G60" s="511"/>
      <c r="I60" s="48"/>
    </row>
    <row r="61" spans="1:9" ht="14.25" customHeight="1">
      <c r="A61" s="224" t="s">
        <v>783</v>
      </c>
      <c r="B61" s="531">
        <v>10</v>
      </c>
      <c r="C61" s="530">
        <v>8</v>
      </c>
      <c r="D61" s="532">
        <v>5</v>
      </c>
      <c r="E61" s="530">
        <v>50</v>
      </c>
      <c r="F61" s="530">
        <v>50</v>
      </c>
      <c r="G61" s="511"/>
      <c r="I61" s="48"/>
    </row>
    <row r="62" spans="1:9" ht="14.25" customHeight="1">
      <c r="A62" s="224" t="s">
        <v>476</v>
      </c>
      <c r="B62" s="531">
        <v>10</v>
      </c>
      <c r="C62" s="530">
        <v>8</v>
      </c>
      <c r="D62" s="532">
        <v>5</v>
      </c>
      <c r="E62" s="530">
        <v>0</v>
      </c>
      <c r="F62" s="530">
        <v>50</v>
      </c>
      <c r="G62" s="511"/>
      <c r="I62" s="48"/>
    </row>
    <row r="63" spans="1:9" ht="14.25" customHeight="1">
      <c r="A63" s="224" t="s">
        <v>782</v>
      </c>
      <c r="B63" s="531">
        <v>10</v>
      </c>
      <c r="C63" s="530">
        <v>8</v>
      </c>
      <c r="D63" s="532">
        <v>5</v>
      </c>
      <c r="E63" s="530">
        <v>0</v>
      </c>
      <c r="F63" s="530">
        <v>50</v>
      </c>
      <c r="G63" s="511"/>
      <c r="I63" s="48"/>
    </row>
    <row r="64" spans="1:9" ht="14.25" customHeight="1">
      <c r="A64" s="224" t="s">
        <v>781</v>
      </c>
      <c r="B64" s="531">
        <v>2</v>
      </c>
      <c r="C64" s="530">
        <v>2</v>
      </c>
      <c r="D64" s="532">
        <v>1</v>
      </c>
      <c r="E64" s="530">
        <v>0</v>
      </c>
      <c r="F64" s="530">
        <v>50</v>
      </c>
      <c r="G64" s="511"/>
      <c r="I64" s="48"/>
    </row>
    <row r="65" spans="1:9" ht="14.25" customHeight="1">
      <c r="A65" s="224" t="s">
        <v>470</v>
      </c>
      <c r="B65" s="531">
        <v>22</v>
      </c>
      <c r="C65" s="530">
        <v>18</v>
      </c>
      <c r="D65" s="532">
        <v>11</v>
      </c>
      <c r="E65" s="530">
        <v>50</v>
      </c>
      <c r="F65" s="530">
        <v>50</v>
      </c>
      <c r="G65" s="511"/>
      <c r="I65" s="48"/>
    </row>
    <row r="66" spans="1:9" ht="14.25" customHeight="1">
      <c r="A66" s="224" t="s">
        <v>473</v>
      </c>
      <c r="B66" s="531">
        <v>18</v>
      </c>
      <c r="C66" s="530">
        <v>14</v>
      </c>
      <c r="D66" s="532">
        <v>9</v>
      </c>
      <c r="E66" s="530">
        <v>0</v>
      </c>
      <c r="F66" s="530">
        <v>50</v>
      </c>
      <c r="G66" s="511"/>
      <c r="I66" s="48"/>
    </row>
    <row r="67" spans="1:9" ht="14.25" customHeight="1">
      <c r="A67" s="224" t="s">
        <v>474</v>
      </c>
      <c r="B67" s="531">
        <v>13</v>
      </c>
      <c r="C67" s="530">
        <v>10</v>
      </c>
      <c r="D67" s="532">
        <v>7</v>
      </c>
      <c r="E67" s="530">
        <v>0</v>
      </c>
      <c r="F67" s="530">
        <v>50</v>
      </c>
      <c r="G67" s="511"/>
      <c r="I67" s="48"/>
    </row>
    <row r="68" spans="1:9" ht="14.25" customHeight="1">
      <c r="A68" s="224" t="s">
        <v>475</v>
      </c>
      <c r="B68" s="531">
        <v>10</v>
      </c>
      <c r="C68" s="530">
        <v>8</v>
      </c>
      <c r="D68" s="532">
        <v>5</v>
      </c>
      <c r="E68" s="530">
        <v>0</v>
      </c>
      <c r="F68" s="530">
        <v>50</v>
      </c>
      <c r="G68" s="511"/>
      <c r="I68" s="48"/>
    </row>
    <row r="69" spans="1:9" ht="14.25" customHeight="1">
      <c r="A69" s="224" t="s">
        <v>780</v>
      </c>
      <c r="B69" s="531">
        <v>0</v>
      </c>
      <c r="C69" s="530">
        <v>0</v>
      </c>
      <c r="D69" s="532">
        <v>0</v>
      </c>
      <c r="E69" s="530">
        <v>0</v>
      </c>
      <c r="F69" s="530">
        <v>50</v>
      </c>
      <c r="G69" s="511"/>
      <c r="I69" s="48"/>
    </row>
    <row r="70" spans="1:9" ht="14.25" customHeight="1">
      <c r="A70" s="224" t="s">
        <v>477</v>
      </c>
      <c r="B70" s="531">
        <v>0</v>
      </c>
      <c r="C70" s="530">
        <v>0</v>
      </c>
      <c r="D70" s="532">
        <v>0</v>
      </c>
      <c r="E70" s="530">
        <v>0</v>
      </c>
      <c r="F70" s="530">
        <v>50</v>
      </c>
      <c r="G70" s="511"/>
      <c r="I70" s="48"/>
    </row>
    <row r="71" spans="1:9" ht="14.25" customHeight="1">
      <c r="A71" s="508" t="s">
        <v>478</v>
      </c>
      <c r="B71" s="508"/>
      <c r="C71" s="511"/>
      <c r="D71" s="522"/>
      <c r="E71" s="511"/>
      <c r="F71" s="511"/>
      <c r="G71" s="511"/>
      <c r="I71" s="506"/>
    </row>
    <row r="72" spans="1:9" ht="14.25" customHeight="1">
      <c r="A72" s="505" t="s">
        <v>779</v>
      </c>
      <c r="B72" s="520">
        <v>1.65</v>
      </c>
      <c r="C72" s="511" t="s">
        <v>754</v>
      </c>
      <c r="D72" s="511"/>
      <c r="E72" s="511"/>
      <c r="F72" s="511"/>
      <c r="G72" s="511"/>
      <c r="I72" s="48"/>
    </row>
    <row r="73" spans="1:9" ht="14.25" customHeight="1">
      <c r="A73" s="508" t="s">
        <v>479</v>
      </c>
      <c r="B73" s="71" t="s">
        <v>767</v>
      </c>
      <c r="C73" s="71" t="s">
        <v>766</v>
      </c>
      <c r="D73" s="71" t="s">
        <v>765</v>
      </c>
      <c r="E73" s="71" t="s">
        <v>87</v>
      </c>
      <c r="F73" s="71" t="s">
        <v>764</v>
      </c>
      <c r="G73" s="511"/>
      <c r="I73" s="506"/>
    </row>
    <row r="74" spans="1:9" ht="14.25" customHeight="1">
      <c r="A74" s="224" t="s">
        <v>119</v>
      </c>
      <c r="B74" s="531">
        <v>63</v>
      </c>
      <c r="C74" s="530">
        <v>51</v>
      </c>
      <c r="D74" s="530">
        <v>51</v>
      </c>
      <c r="E74" s="530">
        <v>165</v>
      </c>
      <c r="F74" s="530">
        <v>90</v>
      </c>
      <c r="G74" s="511"/>
      <c r="I74" s="48"/>
    </row>
    <row r="75" spans="1:9" ht="14.25" customHeight="1">
      <c r="A75" s="224" t="s">
        <v>120</v>
      </c>
      <c r="B75" s="531">
        <v>45</v>
      </c>
      <c r="C75" s="530">
        <v>36</v>
      </c>
      <c r="D75" s="530">
        <v>36</v>
      </c>
      <c r="E75" s="530">
        <v>165</v>
      </c>
      <c r="F75" s="530">
        <v>90</v>
      </c>
      <c r="G75" s="511"/>
      <c r="I75" s="48"/>
    </row>
    <row r="76" spans="1:9" ht="14.25" customHeight="1">
      <c r="A76" s="224" t="s">
        <v>121</v>
      </c>
      <c r="B76" s="531">
        <v>35</v>
      </c>
      <c r="C76" s="530">
        <v>28</v>
      </c>
      <c r="D76" s="530">
        <v>28</v>
      </c>
      <c r="E76" s="530">
        <v>85</v>
      </c>
      <c r="F76" s="530">
        <v>90</v>
      </c>
      <c r="G76" s="511"/>
      <c r="I76" s="48"/>
    </row>
    <row r="77" spans="1:9" ht="14.25" customHeight="1">
      <c r="A77" s="224" t="s">
        <v>122</v>
      </c>
      <c r="B77" s="531">
        <v>35</v>
      </c>
      <c r="C77" s="530">
        <v>28</v>
      </c>
      <c r="D77" s="530">
        <v>28</v>
      </c>
      <c r="E77" s="530">
        <v>45</v>
      </c>
      <c r="F77" s="530">
        <v>90</v>
      </c>
      <c r="G77" s="511"/>
      <c r="I77" s="48"/>
    </row>
    <row r="78" spans="1:9" ht="14.25" customHeight="1">
      <c r="A78" s="224" t="s">
        <v>123</v>
      </c>
      <c r="B78" s="531">
        <v>35</v>
      </c>
      <c r="C78" s="530">
        <v>28</v>
      </c>
      <c r="D78" s="530">
        <v>28</v>
      </c>
      <c r="E78" s="530">
        <v>45</v>
      </c>
      <c r="F78" s="530">
        <v>90</v>
      </c>
      <c r="G78" s="511"/>
      <c r="I78" s="48"/>
    </row>
    <row r="79" spans="1:9" ht="14.25" customHeight="1">
      <c r="A79" s="224" t="s">
        <v>124</v>
      </c>
      <c r="B79" s="531">
        <v>35</v>
      </c>
      <c r="C79" s="530">
        <v>28</v>
      </c>
      <c r="D79" s="530">
        <v>28</v>
      </c>
      <c r="E79" s="530">
        <v>45</v>
      </c>
      <c r="F79" s="530">
        <v>90</v>
      </c>
      <c r="G79" s="511"/>
      <c r="I79" s="48"/>
    </row>
    <row r="80" spans="1:9" ht="14.25" customHeight="1">
      <c r="A80" s="224" t="s">
        <v>125</v>
      </c>
      <c r="B80" s="531">
        <v>35</v>
      </c>
      <c r="C80" s="530">
        <v>28</v>
      </c>
      <c r="D80" s="530">
        <v>28</v>
      </c>
      <c r="E80" s="530">
        <v>45</v>
      </c>
      <c r="F80" s="530">
        <v>90</v>
      </c>
      <c r="G80" s="511"/>
      <c r="I80" s="48"/>
    </row>
    <row r="81" spans="1:9" ht="14.25" customHeight="1">
      <c r="A81" s="508" t="s">
        <v>480</v>
      </c>
      <c r="B81" s="71" t="s">
        <v>767</v>
      </c>
      <c r="C81" s="71" t="s">
        <v>766</v>
      </c>
      <c r="D81" s="71" t="s">
        <v>765</v>
      </c>
      <c r="E81" s="71" t="s">
        <v>87</v>
      </c>
      <c r="F81" s="71" t="s">
        <v>764</v>
      </c>
      <c r="G81" s="511"/>
      <c r="I81" s="506"/>
    </row>
    <row r="82" spans="1:9" ht="14.25" customHeight="1">
      <c r="A82" s="224" t="s">
        <v>481</v>
      </c>
      <c r="B82" s="531">
        <v>40</v>
      </c>
      <c r="C82" s="530">
        <v>32</v>
      </c>
      <c r="D82" s="530">
        <v>20</v>
      </c>
      <c r="E82" s="530">
        <v>150</v>
      </c>
      <c r="F82" s="530">
        <v>100</v>
      </c>
      <c r="G82" s="511"/>
      <c r="I82" s="48"/>
    </row>
    <row r="83" spans="1:9" ht="14.25" customHeight="1">
      <c r="A83" s="224" t="s">
        <v>71</v>
      </c>
      <c r="B83" s="531">
        <v>40</v>
      </c>
      <c r="C83" s="530">
        <v>32</v>
      </c>
      <c r="D83" s="530">
        <v>20</v>
      </c>
      <c r="E83" s="530">
        <v>150</v>
      </c>
      <c r="F83" s="530">
        <v>100</v>
      </c>
      <c r="G83" s="511"/>
      <c r="I83" s="48"/>
    </row>
    <row r="84" spans="1:9" ht="14.25" customHeight="1">
      <c r="A84" s="224" t="s">
        <v>482</v>
      </c>
      <c r="B84" s="531">
        <v>40</v>
      </c>
      <c r="C84" s="530">
        <v>32</v>
      </c>
      <c r="D84" s="530">
        <v>20</v>
      </c>
      <c r="E84" s="530">
        <v>200</v>
      </c>
      <c r="F84" s="530">
        <v>100</v>
      </c>
      <c r="G84" s="511"/>
      <c r="I84" s="48"/>
    </row>
    <row r="85" spans="1:9" ht="14.25" customHeight="1">
      <c r="A85" s="224" t="s">
        <v>483</v>
      </c>
      <c r="B85" s="531">
        <v>40</v>
      </c>
      <c r="C85" s="530">
        <v>32</v>
      </c>
      <c r="D85" s="530">
        <v>20</v>
      </c>
      <c r="E85" s="530">
        <v>150</v>
      </c>
      <c r="F85" s="530">
        <v>100</v>
      </c>
      <c r="G85" s="511"/>
      <c r="I85" s="48"/>
    </row>
    <row r="86" spans="1:9" ht="14.25" customHeight="1">
      <c r="A86" s="224" t="s">
        <v>484</v>
      </c>
      <c r="B86" s="531">
        <v>40</v>
      </c>
      <c r="C86" s="530">
        <v>32</v>
      </c>
      <c r="D86" s="530">
        <v>20</v>
      </c>
      <c r="E86" s="530">
        <v>150</v>
      </c>
      <c r="F86" s="530">
        <v>100</v>
      </c>
      <c r="G86" s="511"/>
      <c r="I86" s="48"/>
    </row>
    <row r="87" spans="1:9" ht="14.25" customHeight="1">
      <c r="A87" s="224" t="s">
        <v>778</v>
      </c>
      <c r="B87" s="531">
        <v>40</v>
      </c>
      <c r="C87" s="530">
        <v>32</v>
      </c>
      <c r="D87" s="530">
        <v>20</v>
      </c>
      <c r="E87" s="530">
        <v>150</v>
      </c>
      <c r="F87" s="530">
        <v>100</v>
      </c>
      <c r="G87" s="511"/>
      <c r="I87" s="48"/>
    </row>
    <row r="88" spans="1:9" ht="14.25" customHeight="1">
      <c r="A88" s="224" t="s">
        <v>777</v>
      </c>
      <c r="B88" s="531">
        <v>20</v>
      </c>
      <c r="C88" s="530">
        <v>16</v>
      </c>
      <c r="D88" s="530">
        <v>10</v>
      </c>
      <c r="E88" s="530">
        <v>150</v>
      </c>
      <c r="F88" s="530">
        <v>100</v>
      </c>
      <c r="G88" s="511"/>
      <c r="I88" s="48"/>
    </row>
    <row r="89" spans="1:9" ht="14.25" customHeight="1" thickBot="1">
      <c r="A89" s="72"/>
      <c r="B89" s="72"/>
      <c r="C89" s="74"/>
      <c r="D89" s="516"/>
      <c r="E89" s="75"/>
    </row>
    <row r="90" spans="1:9" ht="14.25" customHeight="1">
      <c r="A90" s="507" t="s">
        <v>30</v>
      </c>
      <c r="B90" s="50" t="s">
        <v>619</v>
      </c>
      <c r="C90" s="507"/>
    </row>
    <row r="91" spans="1:9" ht="14.25" customHeight="1">
      <c r="A91" s="506" t="s">
        <v>776</v>
      </c>
      <c r="B91" s="71" t="s">
        <v>767</v>
      </c>
      <c r="C91" s="71" t="s">
        <v>766</v>
      </c>
      <c r="D91" s="71" t="s">
        <v>765</v>
      </c>
      <c r="E91" s="71" t="s">
        <v>87</v>
      </c>
      <c r="F91" s="71" t="s">
        <v>764</v>
      </c>
    </row>
    <row r="92" spans="1:9" ht="14.25" customHeight="1">
      <c r="A92" s="505" t="s">
        <v>775</v>
      </c>
      <c r="B92" s="520">
        <v>37</v>
      </c>
      <c r="C92" s="526">
        <v>27.75</v>
      </c>
      <c r="D92" s="528" t="s">
        <v>758</v>
      </c>
      <c r="E92" s="511">
        <v>258</v>
      </c>
      <c r="F92" s="523">
        <v>92</v>
      </c>
    </row>
    <row r="93" spans="1:9" ht="14.25" customHeight="1">
      <c r="A93" s="505" t="s">
        <v>126</v>
      </c>
      <c r="B93" s="520">
        <v>33</v>
      </c>
      <c r="C93" s="526">
        <v>24.75</v>
      </c>
      <c r="D93" s="528" t="s">
        <v>758</v>
      </c>
      <c r="E93" s="511">
        <v>250</v>
      </c>
      <c r="F93" s="523">
        <v>92</v>
      </c>
    </row>
    <row r="94" spans="1:9" ht="14.25" customHeight="1">
      <c r="A94" s="529" t="s">
        <v>774</v>
      </c>
      <c r="B94" s="520">
        <v>2</v>
      </c>
      <c r="C94" s="526">
        <v>2</v>
      </c>
      <c r="D94" s="528" t="s">
        <v>758</v>
      </c>
      <c r="E94" s="511">
        <v>0</v>
      </c>
      <c r="F94" s="523">
        <v>0</v>
      </c>
    </row>
    <row r="95" spans="1:9" ht="14.25" customHeight="1">
      <c r="A95" s="505" t="s">
        <v>773</v>
      </c>
      <c r="B95" s="520">
        <v>25</v>
      </c>
      <c r="C95" s="526">
        <v>18.75</v>
      </c>
      <c r="D95" s="528" t="s">
        <v>758</v>
      </c>
      <c r="E95" s="511">
        <v>234</v>
      </c>
      <c r="F95" s="523">
        <v>92</v>
      </c>
    </row>
    <row r="96" spans="1:9" ht="14.25" customHeight="1">
      <c r="A96" s="505" t="s">
        <v>772</v>
      </c>
      <c r="B96" s="520">
        <v>30</v>
      </c>
      <c r="C96" s="526">
        <v>22.5</v>
      </c>
      <c r="D96" s="528" t="s">
        <v>758</v>
      </c>
      <c r="E96" s="511">
        <v>244</v>
      </c>
      <c r="F96" s="523">
        <v>92</v>
      </c>
    </row>
    <row r="97" spans="1:6" ht="14.25" customHeight="1">
      <c r="A97" s="505" t="s">
        <v>771</v>
      </c>
      <c r="B97" s="520">
        <v>12</v>
      </c>
      <c r="C97" s="526">
        <v>9</v>
      </c>
      <c r="D97" s="528" t="s">
        <v>758</v>
      </c>
      <c r="E97" s="511">
        <v>104</v>
      </c>
      <c r="F97" s="523">
        <v>92</v>
      </c>
    </row>
    <row r="98" spans="1:6" ht="14.25" customHeight="1">
      <c r="A98" s="505" t="s">
        <v>770</v>
      </c>
      <c r="B98" s="520">
        <v>7.5</v>
      </c>
      <c r="C98" s="526" t="s">
        <v>758</v>
      </c>
      <c r="D98" s="528" t="s">
        <v>758</v>
      </c>
      <c r="E98" s="511" t="s">
        <v>760</v>
      </c>
      <c r="F98" s="523">
        <v>92</v>
      </c>
    </row>
    <row r="99" spans="1:6" ht="14.25" customHeight="1">
      <c r="A99" s="505" t="s">
        <v>769</v>
      </c>
      <c r="B99" s="520">
        <v>20</v>
      </c>
      <c r="C99" s="526">
        <v>10</v>
      </c>
      <c r="D99" s="528" t="s">
        <v>758</v>
      </c>
      <c r="E99" s="511" t="s">
        <v>760</v>
      </c>
      <c r="F99" s="523">
        <v>92</v>
      </c>
    </row>
    <row r="100" spans="1:6" ht="14.25" customHeight="1">
      <c r="A100" s="508" t="s">
        <v>768</v>
      </c>
      <c r="B100" s="71" t="s">
        <v>767</v>
      </c>
      <c r="C100" s="71" t="s">
        <v>766</v>
      </c>
      <c r="D100" s="71" t="s">
        <v>765</v>
      </c>
      <c r="E100" s="71" t="s">
        <v>87</v>
      </c>
      <c r="F100" s="71" t="s">
        <v>764</v>
      </c>
    </row>
    <row r="101" spans="1:6" ht="14.25" customHeight="1">
      <c r="A101" s="505" t="s">
        <v>763</v>
      </c>
      <c r="B101" s="520">
        <v>40</v>
      </c>
      <c r="C101" s="526" t="s">
        <v>758</v>
      </c>
      <c r="D101" s="528" t="s">
        <v>758</v>
      </c>
      <c r="E101" s="511" t="s">
        <v>760</v>
      </c>
      <c r="F101" s="523">
        <v>92</v>
      </c>
    </row>
    <row r="102" spans="1:6" ht="14.25" customHeight="1">
      <c r="A102" s="529" t="s">
        <v>762</v>
      </c>
      <c r="B102" s="520">
        <v>10</v>
      </c>
      <c r="C102" s="526" t="s">
        <v>758</v>
      </c>
      <c r="D102" s="528" t="s">
        <v>758</v>
      </c>
      <c r="E102" s="511" t="s">
        <v>758</v>
      </c>
      <c r="F102" s="523" t="s">
        <v>758</v>
      </c>
    </row>
    <row r="103" spans="1:6" ht="14.25" customHeight="1">
      <c r="A103" s="505" t="s">
        <v>761</v>
      </c>
      <c r="B103" s="520">
        <v>17.5</v>
      </c>
      <c r="C103" s="526" t="s">
        <v>758</v>
      </c>
      <c r="D103" s="528" t="s">
        <v>758</v>
      </c>
      <c r="E103" s="511" t="s">
        <v>760</v>
      </c>
      <c r="F103" s="523">
        <v>92</v>
      </c>
    </row>
    <row r="104" spans="1:6" ht="14.25" customHeight="1">
      <c r="A104" s="50" t="s">
        <v>759</v>
      </c>
      <c r="B104" s="527">
        <v>7.5</v>
      </c>
      <c r="C104" s="526" t="s">
        <v>758</v>
      </c>
      <c r="D104" s="528" t="s">
        <v>758</v>
      </c>
      <c r="E104" s="511" t="s">
        <v>758</v>
      </c>
      <c r="F104" s="523" t="s">
        <v>758</v>
      </c>
    </row>
    <row r="105" spans="1:6" ht="14.25" customHeight="1">
      <c r="A105" s="529" t="s">
        <v>757</v>
      </c>
      <c r="B105" s="520"/>
      <c r="C105" s="526"/>
      <c r="D105" s="528"/>
      <c r="E105" s="511"/>
      <c r="F105" s="523"/>
    </row>
    <row r="106" spans="1:6" ht="14.25" customHeight="1">
      <c r="A106" s="71" t="s">
        <v>756</v>
      </c>
      <c r="B106" s="527"/>
      <c r="C106" s="526"/>
      <c r="D106" s="528"/>
      <c r="E106" s="511"/>
      <c r="F106" s="523"/>
    </row>
    <row r="107" spans="1:6" ht="14.25" customHeight="1">
      <c r="A107" s="50" t="s">
        <v>755</v>
      </c>
      <c r="B107" s="527">
        <v>1.83</v>
      </c>
      <c r="C107" s="526" t="s">
        <v>754</v>
      </c>
      <c r="D107" s="528"/>
      <c r="E107" s="511"/>
      <c r="F107" s="523"/>
    </row>
    <row r="108" spans="1:6" ht="14.25" customHeight="1">
      <c r="A108" s="50" t="s">
        <v>753</v>
      </c>
      <c r="B108" s="527">
        <v>5.5</v>
      </c>
      <c r="C108" s="526" t="s">
        <v>752</v>
      </c>
      <c r="D108" s="517"/>
      <c r="E108" s="511"/>
      <c r="F108" s="523"/>
    </row>
    <row r="109" spans="1:6" ht="14.25" customHeight="1" thickBot="1">
      <c r="A109" s="516"/>
      <c r="B109" s="525"/>
      <c r="C109" s="525"/>
      <c r="D109" s="525"/>
      <c r="E109" s="524"/>
      <c r="F109" s="523"/>
    </row>
    <row r="110" spans="1:6" ht="14.25" customHeight="1">
      <c r="A110" s="507" t="s">
        <v>32</v>
      </c>
      <c r="B110" s="50" t="s">
        <v>619</v>
      </c>
    </row>
    <row r="111" spans="1:6" ht="14.25" customHeight="1">
      <c r="A111" s="506" t="s">
        <v>751</v>
      </c>
      <c r="B111" s="506" t="s">
        <v>750</v>
      </c>
      <c r="C111" s="506"/>
      <c r="E111" s="50"/>
    </row>
    <row r="112" spans="1:6" ht="14.25" customHeight="1">
      <c r="A112" s="227" t="s">
        <v>749</v>
      </c>
      <c r="B112" s="522">
        <v>40</v>
      </c>
      <c r="C112" s="227" t="s">
        <v>606</v>
      </c>
      <c r="E112" s="50"/>
    </row>
    <row r="113" spans="1:5" ht="14.25" customHeight="1">
      <c r="A113" s="227" t="s">
        <v>748</v>
      </c>
      <c r="B113" s="522">
        <v>40</v>
      </c>
      <c r="C113" s="227" t="s">
        <v>606</v>
      </c>
      <c r="E113" s="50"/>
    </row>
    <row r="114" spans="1:5" ht="14.25" customHeight="1">
      <c r="A114" s="506" t="s">
        <v>747</v>
      </c>
      <c r="B114" s="522"/>
      <c r="C114" s="506"/>
      <c r="E114" s="50"/>
    </row>
    <row r="115" spans="1:5" ht="14.25" customHeight="1">
      <c r="A115" s="227" t="s">
        <v>746</v>
      </c>
      <c r="B115" s="522">
        <v>4</v>
      </c>
      <c r="C115" s="227" t="s">
        <v>745</v>
      </c>
      <c r="E115" s="50"/>
    </row>
    <row r="116" spans="1:5" ht="14.25" customHeight="1">
      <c r="A116" s="227" t="s">
        <v>744</v>
      </c>
      <c r="B116" s="522">
        <v>40</v>
      </c>
      <c r="C116" s="227" t="s">
        <v>606</v>
      </c>
      <c r="E116" s="50"/>
    </row>
    <row r="117" spans="1:5" ht="14.25" customHeight="1">
      <c r="A117" s="227" t="s">
        <v>743</v>
      </c>
      <c r="B117" s="522">
        <v>80</v>
      </c>
      <c r="C117" s="227" t="s">
        <v>606</v>
      </c>
      <c r="E117" s="50"/>
    </row>
    <row r="118" spans="1:5" ht="14.25" customHeight="1" thickBot="1">
      <c r="A118" s="516"/>
      <c r="B118" s="516"/>
      <c r="C118" s="516"/>
      <c r="D118" s="516"/>
      <c r="E118" s="75"/>
    </row>
    <row r="119" spans="1:5" ht="14.25" customHeight="1">
      <c r="A119" s="507" t="s">
        <v>76</v>
      </c>
      <c r="B119" s="50" t="s">
        <v>619</v>
      </c>
      <c r="C119" s="50"/>
      <c r="D119" s="50"/>
    </row>
    <row r="120" spans="1:5" ht="14.25" customHeight="1">
      <c r="A120" s="508" t="s">
        <v>742</v>
      </c>
      <c r="B120" s="508" t="s">
        <v>666</v>
      </c>
      <c r="C120" s="513" t="s">
        <v>611</v>
      </c>
      <c r="D120" s="50"/>
      <c r="E120" s="50"/>
    </row>
    <row r="121" spans="1:5" ht="14.25" customHeight="1">
      <c r="A121" s="505" t="s">
        <v>741</v>
      </c>
      <c r="B121" s="520">
        <v>725</v>
      </c>
      <c r="C121" s="50" t="s">
        <v>735</v>
      </c>
      <c r="D121" s="50"/>
      <c r="E121" s="50"/>
    </row>
    <row r="122" spans="1:5" ht="14.25" customHeight="1">
      <c r="A122" s="505" t="s">
        <v>740</v>
      </c>
      <c r="B122" s="520">
        <v>1000</v>
      </c>
      <c r="C122" s="50" t="s">
        <v>735</v>
      </c>
      <c r="D122" s="50"/>
      <c r="E122" s="50"/>
    </row>
    <row r="123" spans="1:5" ht="14.25" customHeight="1">
      <c r="A123" s="505" t="s">
        <v>739</v>
      </c>
      <c r="B123" s="520">
        <v>1200</v>
      </c>
      <c r="C123" s="50" t="s">
        <v>735</v>
      </c>
      <c r="D123" s="50"/>
      <c r="E123" s="50"/>
    </row>
    <row r="124" spans="1:5" ht="14.25" customHeight="1">
      <c r="A124" s="505" t="s">
        <v>738</v>
      </c>
      <c r="B124" s="520">
        <v>1400</v>
      </c>
      <c r="C124" s="50" t="s">
        <v>735</v>
      </c>
      <c r="D124" s="50"/>
      <c r="E124" s="50"/>
    </row>
    <row r="125" spans="1:5" ht="14.25" customHeight="1">
      <c r="A125" s="505" t="s">
        <v>737</v>
      </c>
      <c r="B125" s="520">
        <v>1800</v>
      </c>
      <c r="C125" s="50" t="s">
        <v>735</v>
      </c>
      <c r="D125" s="50"/>
      <c r="E125" s="50"/>
    </row>
    <row r="126" spans="1:5" ht="14.25" customHeight="1">
      <c r="A126" s="505" t="s">
        <v>736</v>
      </c>
      <c r="B126" s="520">
        <v>2200</v>
      </c>
      <c r="C126" s="50" t="s">
        <v>735</v>
      </c>
      <c r="D126" s="50"/>
      <c r="E126" s="50"/>
    </row>
    <row r="127" spans="1:5" ht="14.25" customHeight="1">
      <c r="A127" s="508" t="s">
        <v>734</v>
      </c>
      <c r="B127" s="508" t="s">
        <v>666</v>
      </c>
      <c r="C127" s="513" t="s">
        <v>611</v>
      </c>
      <c r="D127" s="50"/>
      <c r="E127" s="50"/>
    </row>
    <row r="128" spans="1:5" ht="14.25" customHeight="1">
      <c r="A128" s="505" t="s">
        <v>733</v>
      </c>
      <c r="B128" s="520">
        <v>1200</v>
      </c>
      <c r="C128" s="50" t="s">
        <v>725</v>
      </c>
      <c r="D128" s="50"/>
      <c r="E128" s="50"/>
    </row>
    <row r="129" spans="1:5" ht="14.25" customHeight="1">
      <c r="A129" s="505" t="s">
        <v>732</v>
      </c>
      <c r="B129" s="520">
        <v>1850</v>
      </c>
      <c r="C129" s="50" t="s">
        <v>725</v>
      </c>
      <c r="D129" s="50"/>
      <c r="E129" s="50"/>
    </row>
    <row r="130" spans="1:5" ht="14.25" customHeight="1">
      <c r="A130" s="505" t="s">
        <v>731</v>
      </c>
      <c r="B130" s="520">
        <v>1080</v>
      </c>
      <c r="C130" s="50" t="s">
        <v>725</v>
      </c>
      <c r="D130" s="50"/>
      <c r="E130" s="50"/>
    </row>
    <row r="131" spans="1:5" ht="14.25" customHeight="1">
      <c r="A131" s="505" t="s">
        <v>730</v>
      </c>
      <c r="B131" s="520">
        <v>1350</v>
      </c>
      <c r="C131" s="50" t="s">
        <v>725</v>
      </c>
      <c r="D131" s="50"/>
      <c r="E131" s="50"/>
    </row>
    <row r="132" spans="1:5" ht="14.25" customHeight="1">
      <c r="A132" s="505" t="s">
        <v>729</v>
      </c>
      <c r="B132" s="520">
        <v>1475</v>
      </c>
      <c r="C132" s="50" t="s">
        <v>725</v>
      </c>
      <c r="D132" s="50"/>
      <c r="E132" s="50"/>
    </row>
    <row r="133" spans="1:5" ht="14.25" customHeight="1">
      <c r="A133" s="505" t="s">
        <v>728</v>
      </c>
      <c r="B133" s="520">
        <v>700</v>
      </c>
      <c r="C133" s="50" t="s">
        <v>725</v>
      </c>
      <c r="D133" s="50"/>
      <c r="E133" s="50"/>
    </row>
    <row r="134" spans="1:5" ht="14.25" customHeight="1">
      <c r="A134" s="505" t="s">
        <v>727</v>
      </c>
      <c r="B134" s="520">
        <v>550</v>
      </c>
      <c r="C134" s="50" t="s">
        <v>725</v>
      </c>
      <c r="D134" s="50"/>
      <c r="E134" s="50"/>
    </row>
    <row r="135" spans="1:5" ht="14.25" customHeight="1">
      <c r="A135" s="505" t="s">
        <v>726</v>
      </c>
      <c r="B135" s="520">
        <v>600</v>
      </c>
      <c r="C135" s="50" t="s">
        <v>725</v>
      </c>
      <c r="D135" s="50"/>
      <c r="E135" s="50"/>
    </row>
    <row r="136" spans="1:5" ht="14.25" customHeight="1">
      <c r="A136" s="508" t="s">
        <v>724</v>
      </c>
      <c r="B136" s="508" t="s">
        <v>666</v>
      </c>
      <c r="C136" s="513" t="s">
        <v>611</v>
      </c>
      <c r="D136" s="50"/>
      <c r="E136" s="50"/>
    </row>
    <row r="137" spans="1:5" ht="14.25" customHeight="1">
      <c r="A137" s="505" t="s">
        <v>723</v>
      </c>
      <c r="B137" s="520">
        <v>475</v>
      </c>
      <c r="C137" s="50" t="s">
        <v>716</v>
      </c>
      <c r="D137" s="50"/>
      <c r="E137" s="50"/>
    </row>
    <row r="138" spans="1:5" ht="14.25" customHeight="1">
      <c r="A138" s="505" t="s">
        <v>722</v>
      </c>
      <c r="B138" s="520">
        <v>825</v>
      </c>
      <c r="C138" s="50" t="s">
        <v>716</v>
      </c>
      <c r="D138" s="50"/>
      <c r="E138" s="50"/>
    </row>
    <row r="139" spans="1:5" ht="14.25" customHeight="1">
      <c r="A139" s="505" t="s">
        <v>721</v>
      </c>
      <c r="B139" s="520">
        <v>375</v>
      </c>
      <c r="C139" s="50" t="s">
        <v>716</v>
      </c>
      <c r="D139" s="50"/>
      <c r="E139" s="50"/>
    </row>
    <row r="140" spans="1:5" ht="14.25" customHeight="1">
      <c r="A140" s="505" t="s">
        <v>720</v>
      </c>
      <c r="B140" s="520">
        <v>825</v>
      </c>
      <c r="C140" s="50" t="s">
        <v>716</v>
      </c>
      <c r="D140" s="50"/>
      <c r="E140" s="50"/>
    </row>
    <row r="141" spans="1:5" ht="14.25" customHeight="1">
      <c r="A141" s="505" t="s">
        <v>719</v>
      </c>
      <c r="B141" s="520">
        <v>375</v>
      </c>
      <c r="C141" s="50" t="s">
        <v>716</v>
      </c>
      <c r="D141" s="50"/>
      <c r="E141" s="50"/>
    </row>
    <row r="142" spans="1:5" ht="14.25" customHeight="1">
      <c r="A142" s="505" t="s">
        <v>718</v>
      </c>
      <c r="B142" s="520">
        <v>1200</v>
      </c>
      <c r="C142" s="50" t="s">
        <v>716</v>
      </c>
      <c r="D142" s="50"/>
      <c r="E142" s="50"/>
    </row>
    <row r="143" spans="1:5" ht="14.25" customHeight="1">
      <c r="A143" s="505" t="s">
        <v>717</v>
      </c>
      <c r="B143" s="520">
        <v>550</v>
      </c>
      <c r="C143" s="50" t="s">
        <v>716</v>
      </c>
      <c r="D143" s="50"/>
      <c r="E143" s="50"/>
    </row>
    <row r="144" spans="1:5" ht="14.25" customHeight="1">
      <c r="A144" s="508" t="s">
        <v>715</v>
      </c>
      <c r="B144" s="508" t="s">
        <v>666</v>
      </c>
      <c r="C144" s="513" t="s">
        <v>611</v>
      </c>
      <c r="D144" s="50"/>
      <c r="E144" s="50"/>
    </row>
    <row r="145" spans="1:5" ht="14.25" customHeight="1">
      <c r="A145" s="505" t="s">
        <v>714</v>
      </c>
      <c r="B145" s="520">
        <v>200</v>
      </c>
      <c r="C145" s="50" t="s">
        <v>675</v>
      </c>
      <c r="D145" s="50"/>
      <c r="E145" s="50"/>
    </row>
    <row r="146" spans="1:5" ht="14.25" customHeight="1">
      <c r="A146" s="505" t="s">
        <v>713</v>
      </c>
      <c r="B146" s="520">
        <v>225</v>
      </c>
      <c r="C146" s="50" t="s">
        <v>675</v>
      </c>
      <c r="D146" s="50"/>
      <c r="E146" s="50"/>
    </row>
    <row r="147" spans="1:5" ht="14.25" customHeight="1">
      <c r="A147" s="505" t="s">
        <v>712</v>
      </c>
      <c r="B147" s="520">
        <v>275</v>
      </c>
      <c r="C147" s="50" t="s">
        <v>675</v>
      </c>
      <c r="D147" s="50"/>
      <c r="E147" s="50"/>
    </row>
    <row r="148" spans="1:5" ht="14.25" customHeight="1">
      <c r="A148" s="505" t="s">
        <v>711</v>
      </c>
      <c r="B148" s="520">
        <v>325</v>
      </c>
      <c r="C148" s="50" t="s">
        <v>675</v>
      </c>
      <c r="D148" s="50"/>
      <c r="E148" s="50"/>
    </row>
    <row r="149" spans="1:5" ht="14.25" customHeight="1">
      <c r="A149" s="505" t="s">
        <v>710</v>
      </c>
      <c r="B149" s="520">
        <v>400</v>
      </c>
      <c r="C149" s="50" t="s">
        <v>675</v>
      </c>
      <c r="D149" s="50"/>
      <c r="E149" s="50"/>
    </row>
    <row r="150" spans="1:5" ht="14.25" customHeight="1">
      <c r="A150" s="505" t="s">
        <v>709</v>
      </c>
      <c r="B150" s="520">
        <v>1200</v>
      </c>
      <c r="C150" s="50" t="s">
        <v>675</v>
      </c>
      <c r="D150" s="50"/>
      <c r="E150" s="50"/>
    </row>
    <row r="151" spans="1:5" ht="14.25" customHeight="1">
      <c r="A151" s="505" t="s">
        <v>708</v>
      </c>
      <c r="B151" s="520">
        <v>2000</v>
      </c>
      <c r="C151" s="50" t="s">
        <v>675</v>
      </c>
      <c r="D151" s="50"/>
      <c r="E151" s="50"/>
    </row>
    <row r="152" spans="1:5" ht="14.25" customHeight="1">
      <c r="A152" s="505" t="s">
        <v>707</v>
      </c>
      <c r="B152" s="520">
        <v>250</v>
      </c>
      <c r="C152" s="50" t="s">
        <v>675</v>
      </c>
      <c r="D152" s="50"/>
      <c r="E152" s="50"/>
    </row>
    <row r="153" spans="1:5" ht="14.25" customHeight="1">
      <c r="A153" s="505" t="s">
        <v>706</v>
      </c>
      <c r="B153" s="520">
        <v>300</v>
      </c>
      <c r="C153" s="50" t="s">
        <v>675</v>
      </c>
      <c r="D153" s="50"/>
      <c r="E153" s="50"/>
    </row>
    <row r="154" spans="1:5" ht="14.25" customHeight="1">
      <c r="A154" s="505" t="s">
        <v>705</v>
      </c>
      <c r="B154" s="520">
        <v>200</v>
      </c>
      <c r="C154" s="50" t="s">
        <v>675</v>
      </c>
      <c r="D154" s="50"/>
      <c r="E154" s="50"/>
    </row>
    <row r="155" spans="1:5" ht="14.25" customHeight="1">
      <c r="A155" s="505" t="s">
        <v>704</v>
      </c>
      <c r="B155" s="520">
        <v>300</v>
      </c>
      <c r="C155" s="50" t="s">
        <v>675</v>
      </c>
      <c r="D155" s="50"/>
      <c r="E155" s="50"/>
    </row>
    <row r="156" spans="1:5" ht="14.25" customHeight="1">
      <c r="A156" s="505" t="s">
        <v>703</v>
      </c>
      <c r="B156" s="520">
        <v>120</v>
      </c>
      <c r="C156" s="50" t="s">
        <v>675</v>
      </c>
      <c r="D156" s="50"/>
      <c r="E156" s="50"/>
    </row>
    <row r="157" spans="1:5" ht="14.25" customHeight="1">
      <c r="A157" s="505" t="s">
        <v>702</v>
      </c>
      <c r="B157" s="520">
        <v>150</v>
      </c>
      <c r="C157" s="50" t="s">
        <v>675</v>
      </c>
      <c r="D157" s="50"/>
      <c r="E157" s="50"/>
    </row>
    <row r="158" spans="1:5" ht="14.25" customHeight="1">
      <c r="A158" s="505" t="s">
        <v>701</v>
      </c>
      <c r="B158" s="520">
        <v>200</v>
      </c>
      <c r="C158" s="50" t="s">
        <v>675</v>
      </c>
      <c r="D158" s="50"/>
      <c r="E158" s="50"/>
    </row>
    <row r="159" spans="1:5" ht="14.25" customHeight="1">
      <c r="A159" s="505" t="s">
        <v>700</v>
      </c>
      <c r="B159" s="520">
        <v>200</v>
      </c>
      <c r="C159" s="50" t="s">
        <v>675</v>
      </c>
      <c r="D159" s="50"/>
      <c r="E159" s="50"/>
    </row>
    <row r="160" spans="1:5" ht="14.25" customHeight="1">
      <c r="A160" s="505" t="s">
        <v>699</v>
      </c>
      <c r="B160" s="520">
        <v>275</v>
      </c>
      <c r="C160" s="50" t="s">
        <v>675</v>
      </c>
      <c r="D160" s="50"/>
      <c r="E160" s="50"/>
    </row>
    <row r="161" spans="1:5" ht="14.25" customHeight="1">
      <c r="A161" s="505" t="s">
        <v>698</v>
      </c>
      <c r="B161" s="520">
        <v>350</v>
      </c>
      <c r="C161" s="50" t="s">
        <v>675</v>
      </c>
      <c r="D161" s="50"/>
      <c r="E161" s="50"/>
    </row>
    <row r="162" spans="1:5" ht="14.25" customHeight="1">
      <c r="A162" s="505" t="s">
        <v>697</v>
      </c>
      <c r="B162" s="520">
        <v>15</v>
      </c>
      <c r="C162" s="50" t="s">
        <v>675</v>
      </c>
      <c r="D162" s="50"/>
      <c r="E162" s="50"/>
    </row>
    <row r="163" spans="1:5" ht="14.25" customHeight="1">
      <c r="A163" s="508" t="s">
        <v>696</v>
      </c>
      <c r="B163" s="508" t="s">
        <v>666</v>
      </c>
      <c r="C163" s="513" t="s">
        <v>611</v>
      </c>
      <c r="D163" s="50"/>
      <c r="E163" s="50"/>
    </row>
    <row r="164" spans="1:5" ht="14.25" customHeight="1">
      <c r="A164" s="505" t="s">
        <v>695</v>
      </c>
      <c r="B164" s="520">
        <v>25</v>
      </c>
      <c r="C164" s="50" t="s">
        <v>675</v>
      </c>
      <c r="D164" s="50"/>
      <c r="E164" s="50"/>
    </row>
    <row r="165" spans="1:5" ht="14.25" customHeight="1">
      <c r="A165" s="505" t="s">
        <v>694</v>
      </c>
      <c r="B165" s="520">
        <v>15</v>
      </c>
      <c r="C165" s="50" t="s">
        <v>675</v>
      </c>
      <c r="D165" s="50"/>
      <c r="E165" s="50"/>
    </row>
    <row r="166" spans="1:5" ht="14.25" customHeight="1">
      <c r="A166" s="508" t="s">
        <v>693</v>
      </c>
      <c r="B166" s="508" t="s">
        <v>666</v>
      </c>
      <c r="C166" s="513" t="s">
        <v>611</v>
      </c>
      <c r="D166" s="50"/>
      <c r="E166" s="50"/>
    </row>
    <row r="167" spans="1:5" ht="14.25" customHeight="1">
      <c r="A167" s="505" t="s">
        <v>692</v>
      </c>
      <c r="B167" s="520">
        <v>420</v>
      </c>
      <c r="C167" s="50" t="s">
        <v>675</v>
      </c>
      <c r="D167" s="50"/>
      <c r="E167" s="50"/>
    </row>
    <row r="168" spans="1:5" ht="14.25" customHeight="1">
      <c r="A168" s="505" t="s">
        <v>691</v>
      </c>
      <c r="B168" s="520">
        <v>45</v>
      </c>
      <c r="C168" s="50" t="s">
        <v>675</v>
      </c>
      <c r="D168" s="50"/>
      <c r="E168" s="50"/>
    </row>
    <row r="169" spans="1:5" ht="14.25" customHeight="1">
      <c r="A169" s="508" t="s">
        <v>77</v>
      </c>
      <c r="B169" s="508" t="s">
        <v>666</v>
      </c>
      <c r="C169" s="513" t="s">
        <v>611</v>
      </c>
      <c r="D169" s="50"/>
      <c r="E169" s="50"/>
    </row>
    <row r="170" spans="1:5" ht="14.25" customHeight="1">
      <c r="A170" s="505" t="s">
        <v>690</v>
      </c>
      <c r="B170" s="521" t="s">
        <v>687</v>
      </c>
      <c r="C170" s="50" t="s">
        <v>675</v>
      </c>
      <c r="D170" s="50"/>
      <c r="E170" s="50"/>
    </row>
    <row r="171" spans="1:5" ht="14.25" customHeight="1">
      <c r="A171" s="505" t="s">
        <v>689</v>
      </c>
      <c r="B171" s="521" t="s">
        <v>687</v>
      </c>
      <c r="C171" s="50" t="s">
        <v>675</v>
      </c>
      <c r="D171" s="50"/>
      <c r="E171" s="50"/>
    </row>
    <row r="172" spans="1:5" ht="14.25" customHeight="1">
      <c r="A172" s="505" t="s">
        <v>688</v>
      </c>
      <c r="B172" s="521" t="s">
        <v>687</v>
      </c>
      <c r="C172" s="50" t="s">
        <v>675</v>
      </c>
      <c r="D172" s="50"/>
      <c r="E172" s="50"/>
    </row>
    <row r="173" spans="1:5" ht="14.25" customHeight="1">
      <c r="A173" s="508" t="s">
        <v>686</v>
      </c>
      <c r="B173" s="508" t="s">
        <v>666</v>
      </c>
      <c r="C173" s="513" t="s">
        <v>611</v>
      </c>
      <c r="D173" s="50"/>
      <c r="E173" s="50"/>
    </row>
    <row r="174" spans="1:5" ht="14.25" customHeight="1">
      <c r="A174" s="505" t="s">
        <v>685</v>
      </c>
      <c r="B174" s="520">
        <v>2</v>
      </c>
      <c r="C174" s="510" t="s">
        <v>675</v>
      </c>
      <c r="D174" s="50"/>
      <c r="E174" s="50"/>
    </row>
    <row r="175" spans="1:5" ht="14.25" customHeight="1">
      <c r="A175" s="505" t="s">
        <v>684</v>
      </c>
      <c r="B175" s="520">
        <v>4</v>
      </c>
      <c r="C175" s="510" t="s">
        <v>675</v>
      </c>
      <c r="D175" s="50"/>
      <c r="E175" s="50"/>
    </row>
    <row r="176" spans="1:5" ht="14.25" customHeight="1">
      <c r="A176" s="505" t="s">
        <v>683</v>
      </c>
      <c r="B176" s="520">
        <v>46</v>
      </c>
      <c r="C176" s="510" t="s">
        <v>681</v>
      </c>
      <c r="D176" s="50"/>
      <c r="E176" s="50"/>
    </row>
    <row r="177" spans="1:5" ht="14.25" customHeight="1">
      <c r="A177" s="505" t="s">
        <v>682</v>
      </c>
      <c r="B177" s="520">
        <v>68</v>
      </c>
      <c r="C177" s="510" t="s">
        <v>681</v>
      </c>
      <c r="D177" s="50"/>
      <c r="E177" s="50"/>
    </row>
    <row r="178" spans="1:5" ht="14.25" customHeight="1">
      <c r="A178" s="505" t="s">
        <v>680</v>
      </c>
      <c r="B178" s="520">
        <v>5</v>
      </c>
      <c r="C178" s="510" t="s">
        <v>675</v>
      </c>
      <c r="D178" s="50"/>
      <c r="E178" s="50"/>
    </row>
    <row r="179" spans="1:5" ht="14.25" customHeight="1">
      <c r="A179" s="508" t="s">
        <v>78</v>
      </c>
      <c r="B179" s="508" t="s">
        <v>666</v>
      </c>
      <c r="C179" s="513" t="s">
        <v>611</v>
      </c>
      <c r="D179" s="50"/>
      <c r="E179" s="50"/>
    </row>
    <row r="180" spans="1:5" ht="14.25" customHeight="1">
      <c r="A180" s="505" t="s">
        <v>679</v>
      </c>
      <c r="B180" s="520">
        <v>22</v>
      </c>
      <c r="C180" s="510" t="s">
        <v>675</v>
      </c>
      <c r="D180" s="50"/>
      <c r="E180" s="50"/>
    </row>
    <row r="181" spans="1:5" ht="14.25" customHeight="1">
      <c r="A181" s="505" t="s">
        <v>678</v>
      </c>
      <c r="B181" s="520">
        <v>32</v>
      </c>
      <c r="C181" s="510" t="s">
        <v>675</v>
      </c>
      <c r="D181" s="50"/>
      <c r="E181" s="50"/>
    </row>
    <row r="182" spans="1:5" ht="14.25" customHeight="1">
      <c r="A182" s="508" t="s">
        <v>677</v>
      </c>
      <c r="B182" s="508" t="s">
        <v>666</v>
      </c>
      <c r="C182" s="513" t="s">
        <v>611</v>
      </c>
      <c r="D182" s="50"/>
      <c r="E182" s="50"/>
    </row>
    <row r="183" spans="1:5" ht="14.25" customHeight="1">
      <c r="A183" s="505" t="s">
        <v>676</v>
      </c>
      <c r="B183" s="520">
        <v>75</v>
      </c>
      <c r="C183" s="510" t="s">
        <v>675</v>
      </c>
      <c r="D183" s="50"/>
      <c r="E183" s="50"/>
    </row>
    <row r="184" spans="1:5" ht="14.25" customHeight="1">
      <c r="A184" s="508" t="s">
        <v>674</v>
      </c>
      <c r="B184" s="508" t="s">
        <v>666</v>
      </c>
      <c r="C184" s="513" t="s">
        <v>611</v>
      </c>
      <c r="D184" s="50"/>
      <c r="E184" s="50"/>
    </row>
    <row r="185" spans="1:5" ht="14.25" customHeight="1">
      <c r="A185" s="505" t="s">
        <v>673</v>
      </c>
      <c r="B185" s="520">
        <v>120</v>
      </c>
      <c r="C185" s="510" t="s">
        <v>672</v>
      </c>
      <c r="D185" s="50"/>
      <c r="E185" s="50"/>
    </row>
    <row r="186" spans="1:5" ht="14.25" customHeight="1">
      <c r="A186" s="505" t="s">
        <v>671</v>
      </c>
      <c r="B186" s="520">
        <v>100</v>
      </c>
      <c r="C186" s="510" t="s">
        <v>608</v>
      </c>
      <c r="D186" s="50"/>
      <c r="E186" s="50"/>
    </row>
    <row r="187" spans="1:5" ht="14.25" customHeight="1">
      <c r="A187" s="505" t="s">
        <v>670</v>
      </c>
      <c r="B187" s="520">
        <v>100</v>
      </c>
      <c r="C187" s="510" t="s">
        <v>669</v>
      </c>
      <c r="D187" s="50"/>
      <c r="E187" s="50"/>
    </row>
    <row r="188" spans="1:5" ht="14.25" customHeight="1">
      <c r="A188" s="505" t="s">
        <v>668</v>
      </c>
      <c r="B188" s="520">
        <v>50</v>
      </c>
      <c r="C188" s="510" t="s">
        <v>608</v>
      </c>
      <c r="D188" s="50"/>
      <c r="E188" s="50"/>
    </row>
    <row r="189" spans="1:5" ht="14.25" customHeight="1">
      <c r="A189" s="508" t="s">
        <v>667</v>
      </c>
      <c r="B189" s="508" t="s">
        <v>666</v>
      </c>
      <c r="C189" s="513" t="s">
        <v>611</v>
      </c>
      <c r="D189" s="50"/>
      <c r="E189" s="50"/>
    </row>
    <row r="190" spans="1:5" ht="14.25" customHeight="1">
      <c r="A190" s="505" t="s">
        <v>665</v>
      </c>
      <c r="B190" s="520">
        <v>25</v>
      </c>
      <c r="C190" s="510" t="s">
        <v>664</v>
      </c>
      <c r="D190" s="50"/>
      <c r="E190" s="50"/>
    </row>
    <row r="191" spans="1:5" ht="14.25" customHeight="1" thickBot="1">
      <c r="A191" s="75"/>
      <c r="B191" s="75"/>
      <c r="C191" s="75"/>
      <c r="D191" s="75"/>
      <c r="E191" s="75"/>
    </row>
    <row r="192" spans="1:5" ht="14.25" customHeight="1">
      <c r="A192" s="509" t="s">
        <v>134</v>
      </c>
      <c r="B192" s="519" t="s">
        <v>663</v>
      </c>
      <c r="C192" s="509"/>
      <c r="D192" s="50"/>
      <c r="E192" s="50"/>
    </row>
    <row r="193" spans="1:5" ht="14.25" customHeight="1">
      <c r="A193" s="71" t="s">
        <v>662</v>
      </c>
      <c r="B193" s="71" t="s">
        <v>612</v>
      </c>
      <c r="C193" s="71" t="s">
        <v>661</v>
      </c>
      <c r="D193" s="71"/>
      <c r="E193" s="518"/>
    </row>
    <row r="194" spans="1:5" ht="14.25" customHeight="1">
      <c r="A194" s="50" t="s">
        <v>128</v>
      </c>
      <c r="B194" s="517">
        <v>21.01</v>
      </c>
      <c r="C194" s="517">
        <v>195</v>
      </c>
    </row>
    <row r="195" spans="1:5" ht="14.25" customHeight="1">
      <c r="A195" s="50" t="s">
        <v>129</v>
      </c>
      <c r="B195" s="517">
        <v>33.799999999999997</v>
      </c>
      <c r="C195" s="517">
        <v>195</v>
      </c>
    </row>
    <row r="196" spans="1:5" ht="14.25" customHeight="1">
      <c r="A196" s="505" t="s">
        <v>130</v>
      </c>
      <c r="B196" s="517">
        <v>33.799999999999997</v>
      </c>
      <c r="C196" s="517">
        <v>195</v>
      </c>
    </row>
    <row r="197" spans="1:5" ht="14.25" customHeight="1">
      <c r="A197" s="50" t="s">
        <v>81</v>
      </c>
      <c r="B197" s="517">
        <v>34.57</v>
      </c>
      <c r="C197" s="517">
        <v>195</v>
      </c>
    </row>
    <row r="198" spans="1:5" ht="14.25" customHeight="1">
      <c r="A198" s="50" t="s">
        <v>79</v>
      </c>
      <c r="B198" s="517">
        <v>23.16</v>
      </c>
      <c r="C198" s="517">
        <v>195</v>
      </c>
    </row>
    <row r="199" spans="1:5" ht="14.25" customHeight="1">
      <c r="A199" s="50" t="s">
        <v>83</v>
      </c>
      <c r="B199" s="517">
        <v>44.28</v>
      </c>
      <c r="C199" s="517">
        <v>195</v>
      </c>
    </row>
    <row r="200" spans="1:5" ht="14.25" customHeight="1">
      <c r="A200" s="50" t="s">
        <v>82</v>
      </c>
      <c r="B200" s="517">
        <v>72.34</v>
      </c>
      <c r="C200" s="517">
        <v>75</v>
      </c>
    </row>
    <row r="201" spans="1:5" ht="14.25" customHeight="1">
      <c r="A201" s="50" t="s">
        <v>80</v>
      </c>
      <c r="B201" s="517">
        <v>30.97</v>
      </c>
      <c r="C201" s="517">
        <v>75</v>
      </c>
    </row>
    <row r="202" spans="1:5" ht="14.25" customHeight="1">
      <c r="A202" s="50" t="s">
        <v>660</v>
      </c>
      <c r="B202" s="517">
        <v>32.520000000000003</v>
      </c>
      <c r="C202" s="517">
        <v>195</v>
      </c>
    </row>
    <row r="203" spans="1:5" ht="14.25" customHeight="1">
      <c r="A203" s="50" t="s">
        <v>659</v>
      </c>
      <c r="B203" s="517">
        <v>1.51</v>
      </c>
      <c r="C203" s="517">
        <v>60</v>
      </c>
    </row>
    <row r="204" spans="1:5" ht="14.25" customHeight="1">
      <c r="A204" s="50" t="s">
        <v>131</v>
      </c>
      <c r="B204" s="517">
        <v>6.95</v>
      </c>
      <c r="C204" s="517">
        <v>45</v>
      </c>
    </row>
    <row r="205" spans="1:5" ht="14.25" customHeight="1">
      <c r="A205" s="50" t="s">
        <v>658</v>
      </c>
      <c r="B205" s="517">
        <v>1.06</v>
      </c>
      <c r="C205" s="517">
        <v>40</v>
      </c>
    </row>
    <row r="206" spans="1:5" ht="14.25" customHeight="1">
      <c r="A206" s="50" t="s">
        <v>657</v>
      </c>
      <c r="B206" s="517">
        <v>1.06</v>
      </c>
      <c r="C206" s="517">
        <v>40</v>
      </c>
    </row>
    <row r="207" spans="1:5" ht="14.25" customHeight="1">
      <c r="A207" s="50" t="s">
        <v>132</v>
      </c>
      <c r="B207" s="517">
        <v>43.36</v>
      </c>
      <c r="C207" s="517">
        <v>195</v>
      </c>
    </row>
    <row r="208" spans="1:5" ht="14.25" customHeight="1">
      <c r="A208" s="50" t="s">
        <v>133</v>
      </c>
      <c r="B208" s="517">
        <v>30.97</v>
      </c>
      <c r="C208" s="517">
        <v>195</v>
      </c>
    </row>
    <row r="209" spans="1:5" ht="14.25" customHeight="1">
      <c r="A209" s="50" t="s">
        <v>656</v>
      </c>
      <c r="B209" s="517">
        <v>0.41</v>
      </c>
      <c r="C209" s="517">
        <v>55</v>
      </c>
    </row>
    <row r="210" spans="1:5" ht="14.25" customHeight="1">
      <c r="A210" s="50" t="s">
        <v>84</v>
      </c>
      <c r="B210" s="517">
        <v>19.7</v>
      </c>
      <c r="C210" s="517">
        <v>50</v>
      </c>
    </row>
    <row r="211" spans="1:5" ht="14.25" customHeight="1">
      <c r="A211" s="50" t="s">
        <v>655</v>
      </c>
      <c r="B211" s="517">
        <v>51.72</v>
      </c>
      <c r="C211" s="517">
        <v>205</v>
      </c>
    </row>
    <row r="212" spans="1:5" ht="14.25" customHeight="1">
      <c r="A212" s="50" t="s">
        <v>135</v>
      </c>
      <c r="B212" s="517">
        <v>93.05</v>
      </c>
      <c r="C212" s="517">
        <v>0</v>
      </c>
    </row>
    <row r="213" spans="1:5" ht="14.25" customHeight="1">
      <c r="A213" s="50" t="s">
        <v>654</v>
      </c>
      <c r="B213" s="517">
        <v>1.1499999999999999</v>
      </c>
      <c r="C213" s="517">
        <v>50</v>
      </c>
    </row>
    <row r="214" spans="1:5" ht="14.25" customHeight="1">
      <c r="A214" s="50" t="s">
        <v>653</v>
      </c>
      <c r="B214" s="517">
        <v>29.81</v>
      </c>
      <c r="C214" s="517">
        <v>220</v>
      </c>
    </row>
    <row r="215" spans="1:5" ht="14.25" customHeight="1">
      <c r="A215" s="50" t="s">
        <v>652</v>
      </c>
      <c r="B215" s="517">
        <v>1.1499999999999999</v>
      </c>
      <c r="C215" s="517">
        <v>98</v>
      </c>
    </row>
    <row r="216" spans="1:5" ht="14.25" customHeight="1">
      <c r="A216" s="50" t="s">
        <v>136</v>
      </c>
      <c r="B216" s="517">
        <v>26.55</v>
      </c>
      <c r="C216" s="517">
        <v>53</v>
      </c>
    </row>
    <row r="217" spans="1:5" ht="14.25" customHeight="1">
      <c r="A217" s="50" t="s">
        <v>137</v>
      </c>
      <c r="B217" s="517">
        <v>39.75</v>
      </c>
      <c r="C217" s="517">
        <v>195</v>
      </c>
    </row>
    <row r="218" spans="1:5" ht="14.25" customHeight="1">
      <c r="A218" s="50" t="s">
        <v>651</v>
      </c>
      <c r="B218" s="517"/>
      <c r="C218" s="50"/>
    </row>
    <row r="219" spans="1:5" ht="14.25" customHeight="1" thickBot="1">
      <c r="A219" s="516"/>
      <c r="B219" s="516"/>
      <c r="C219" s="516"/>
      <c r="D219" s="516"/>
      <c r="E219" s="516"/>
    </row>
    <row r="220" spans="1:5" ht="14.25" customHeight="1">
      <c r="A220" s="507" t="s">
        <v>85</v>
      </c>
      <c r="B220" s="505" t="s">
        <v>619</v>
      </c>
      <c r="E220" s="50"/>
    </row>
    <row r="221" spans="1:5" ht="14.25" customHeight="1">
      <c r="A221" s="506" t="s">
        <v>86</v>
      </c>
      <c r="B221" s="506" t="s">
        <v>31</v>
      </c>
      <c r="C221" s="506" t="s">
        <v>611</v>
      </c>
      <c r="E221" s="50"/>
    </row>
    <row r="222" spans="1:5" ht="14.25" customHeight="1">
      <c r="A222" s="505" t="s">
        <v>650</v>
      </c>
      <c r="B222" s="515">
        <v>70.2</v>
      </c>
      <c r="C222" s="48" t="s">
        <v>608</v>
      </c>
      <c r="E222" s="50"/>
    </row>
    <row r="223" spans="1:5" ht="14.25" customHeight="1">
      <c r="A223" s="505" t="s">
        <v>649</v>
      </c>
      <c r="B223" s="391">
        <v>95</v>
      </c>
      <c r="C223" s="48" t="s">
        <v>608</v>
      </c>
      <c r="E223" s="50"/>
    </row>
    <row r="224" spans="1:5" ht="14.25" customHeight="1">
      <c r="A224" s="505" t="s">
        <v>648</v>
      </c>
      <c r="B224" s="391">
        <v>50</v>
      </c>
      <c r="C224" s="48" t="s">
        <v>608</v>
      </c>
      <c r="E224" s="50"/>
    </row>
    <row r="225" spans="1:5" ht="14.25" customHeight="1">
      <c r="A225" s="505" t="s">
        <v>647</v>
      </c>
      <c r="B225" s="391">
        <v>120</v>
      </c>
      <c r="C225" s="48" t="s">
        <v>608</v>
      </c>
      <c r="D225" s="50"/>
      <c r="E225" s="50"/>
    </row>
    <row r="226" spans="1:5" ht="14.25" customHeight="1">
      <c r="A226" s="505" t="s">
        <v>646</v>
      </c>
      <c r="B226" s="391">
        <v>30</v>
      </c>
      <c r="C226" s="48" t="s">
        <v>608</v>
      </c>
      <c r="D226" s="50"/>
      <c r="E226" s="50"/>
    </row>
    <row r="227" spans="1:5" ht="14.25" customHeight="1">
      <c r="A227" s="505" t="s">
        <v>645</v>
      </c>
      <c r="B227" s="391">
        <v>30</v>
      </c>
      <c r="C227" s="48" t="s">
        <v>608</v>
      </c>
      <c r="D227" s="50"/>
      <c r="E227" s="50"/>
    </row>
    <row r="228" spans="1:5" ht="14.25" customHeight="1">
      <c r="A228" s="505" t="s">
        <v>138</v>
      </c>
      <c r="B228" s="391">
        <v>35</v>
      </c>
      <c r="C228" s="48" t="s">
        <v>608</v>
      </c>
      <c r="D228" s="50"/>
      <c r="E228" s="50"/>
    </row>
    <row r="229" spans="1:5" ht="14.25" customHeight="1">
      <c r="A229" s="505" t="s">
        <v>644</v>
      </c>
      <c r="B229" s="391">
        <v>30</v>
      </c>
      <c r="C229" s="48" t="s">
        <v>608</v>
      </c>
      <c r="D229" s="50"/>
      <c r="E229" s="50"/>
    </row>
    <row r="230" spans="1:5" ht="14.25" customHeight="1" thickBot="1">
      <c r="A230" s="75"/>
      <c r="B230" s="75"/>
      <c r="C230" s="75"/>
      <c r="D230" s="75"/>
      <c r="E230" s="75"/>
    </row>
    <row r="231" spans="1:5" ht="14.25" customHeight="1">
      <c r="A231" s="70" t="s">
        <v>102</v>
      </c>
      <c r="B231" s="50" t="s">
        <v>619</v>
      </c>
      <c r="C231" s="50"/>
      <c r="D231" s="50"/>
    </row>
    <row r="232" spans="1:5" ht="14.25" customHeight="1">
      <c r="A232" s="71" t="s">
        <v>106</v>
      </c>
      <c r="B232" s="50"/>
      <c r="C232" s="50"/>
      <c r="D232" s="50"/>
      <c r="E232" s="50"/>
    </row>
    <row r="233" spans="1:5" ht="14.25" customHeight="1">
      <c r="A233" s="514" t="s">
        <v>643</v>
      </c>
      <c r="B233" s="50" t="s">
        <v>642</v>
      </c>
      <c r="C233" s="50"/>
      <c r="D233" s="50"/>
      <c r="E233" s="50"/>
    </row>
    <row r="234" spans="1:5" ht="14.25" customHeight="1">
      <c r="A234" s="514" t="s">
        <v>641</v>
      </c>
      <c r="B234" s="50" t="s">
        <v>640</v>
      </c>
      <c r="C234" s="50"/>
      <c r="D234" s="50"/>
      <c r="E234" s="50"/>
    </row>
    <row r="235" spans="1:5" ht="14.25" customHeight="1">
      <c r="A235" s="514" t="s">
        <v>639</v>
      </c>
      <c r="B235" s="50" t="s">
        <v>638</v>
      </c>
      <c r="C235" s="50"/>
      <c r="D235" s="50"/>
      <c r="E235" s="50"/>
    </row>
    <row r="236" spans="1:5" ht="14.25" customHeight="1">
      <c r="A236" s="514" t="s">
        <v>637</v>
      </c>
      <c r="B236" s="50" t="s">
        <v>636</v>
      </c>
      <c r="C236" s="50"/>
      <c r="D236" s="50"/>
      <c r="E236" s="50"/>
    </row>
    <row r="237" spans="1:5" ht="14.25" customHeight="1">
      <c r="A237" s="514" t="s">
        <v>635</v>
      </c>
      <c r="B237" s="50" t="s">
        <v>634</v>
      </c>
      <c r="C237" s="50"/>
      <c r="D237" s="50"/>
      <c r="E237" s="50"/>
    </row>
    <row r="238" spans="1:5" ht="14.25" customHeight="1">
      <c r="A238" s="514" t="s">
        <v>633</v>
      </c>
      <c r="B238" s="50" t="s">
        <v>632</v>
      </c>
      <c r="C238" s="50"/>
      <c r="D238" s="50"/>
      <c r="E238" s="50"/>
    </row>
    <row r="239" spans="1:5" ht="14.25" customHeight="1">
      <c r="A239" s="514" t="s">
        <v>631</v>
      </c>
      <c r="B239" s="50" t="s">
        <v>630</v>
      </c>
      <c r="C239" s="50"/>
      <c r="D239" s="50"/>
      <c r="E239" s="50"/>
    </row>
    <row r="240" spans="1:5" ht="14.25" customHeight="1">
      <c r="A240" s="514" t="s">
        <v>629</v>
      </c>
      <c r="B240" s="50" t="s">
        <v>628</v>
      </c>
      <c r="C240" s="50"/>
      <c r="D240" s="50"/>
      <c r="E240" s="50"/>
    </row>
    <row r="241" spans="1:5" ht="14.25" customHeight="1">
      <c r="A241" s="514" t="s">
        <v>627</v>
      </c>
      <c r="B241" s="50" t="s">
        <v>626</v>
      </c>
      <c r="C241" s="50"/>
      <c r="D241" s="50"/>
      <c r="E241" s="50"/>
    </row>
    <row r="242" spans="1:5" ht="14.25" customHeight="1">
      <c r="A242" s="514" t="s">
        <v>625</v>
      </c>
      <c r="B242" s="50" t="s">
        <v>624</v>
      </c>
      <c r="C242" s="50"/>
      <c r="D242" s="50"/>
      <c r="E242" s="50"/>
    </row>
    <row r="243" spans="1:5" ht="14.25" customHeight="1">
      <c r="A243" s="514" t="s">
        <v>623</v>
      </c>
      <c r="B243" s="50" t="s">
        <v>622</v>
      </c>
      <c r="C243" s="50"/>
      <c r="D243" s="50"/>
      <c r="E243" s="50"/>
    </row>
    <row r="244" spans="1:5" ht="14.25" customHeight="1">
      <c r="A244" s="50"/>
      <c r="B244" s="50"/>
      <c r="C244" s="50"/>
      <c r="D244" s="50"/>
      <c r="E244" s="50"/>
    </row>
    <row r="245" spans="1:5" ht="14.25" customHeight="1">
      <c r="A245" s="71" t="s">
        <v>107</v>
      </c>
      <c r="B245" s="71" t="s">
        <v>621</v>
      </c>
      <c r="C245" s="513" t="s">
        <v>620</v>
      </c>
      <c r="D245" s="71" t="s">
        <v>611</v>
      </c>
      <c r="E245" s="50"/>
    </row>
    <row r="246" spans="1:5" ht="14.25" customHeight="1">
      <c r="A246" s="50" t="s">
        <v>103</v>
      </c>
      <c r="B246" s="511">
        <v>80</v>
      </c>
      <c r="C246" s="511">
        <v>40</v>
      </c>
      <c r="D246" s="50" t="s">
        <v>608</v>
      </c>
      <c r="E246" s="50"/>
    </row>
    <row r="247" spans="1:5" ht="14.25" customHeight="1">
      <c r="A247" s="50" t="s">
        <v>104</v>
      </c>
      <c r="B247" s="511">
        <v>80</v>
      </c>
      <c r="C247" s="511">
        <v>40</v>
      </c>
      <c r="D247" s="50" t="s">
        <v>608</v>
      </c>
      <c r="E247" s="50"/>
    </row>
    <row r="248" spans="1:5" ht="14.25" customHeight="1">
      <c r="A248" s="50" t="s">
        <v>139</v>
      </c>
      <c r="B248" s="511">
        <v>80</v>
      </c>
      <c r="C248" s="511">
        <v>40</v>
      </c>
      <c r="D248" s="50" t="s">
        <v>608</v>
      </c>
      <c r="E248" s="50"/>
    </row>
    <row r="249" spans="1:5" ht="14.25" customHeight="1">
      <c r="A249" s="50" t="s">
        <v>140</v>
      </c>
      <c r="B249" s="511">
        <v>80</v>
      </c>
      <c r="C249" s="511">
        <v>40</v>
      </c>
      <c r="D249" s="50" t="s">
        <v>608</v>
      </c>
      <c r="E249" s="50"/>
    </row>
    <row r="250" spans="1:5" ht="14.25" customHeight="1">
      <c r="A250" s="50" t="s">
        <v>142</v>
      </c>
      <c r="B250" s="511">
        <v>80</v>
      </c>
      <c r="C250" s="511">
        <v>40</v>
      </c>
      <c r="D250" s="50" t="s">
        <v>608</v>
      </c>
      <c r="E250" s="50"/>
    </row>
    <row r="251" spans="1:5" ht="14.25" customHeight="1">
      <c r="A251" s="50" t="s">
        <v>141</v>
      </c>
      <c r="B251" s="511">
        <v>80</v>
      </c>
      <c r="C251" s="511">
        <v>40</v>
      </c>
      <c r="D251" s="50" t="s">
        <v>608</v>
      </c>
      <c r="E251" s="50"/>
    </row>
    <row r="252" spans="1:5" ht="14.25" customHeight="1">
      <c r="A252" s="50" t="s">
        <v>105</v>
      </c>
      <c r="B252" s="511">
        <v>80</v>
      </c>
      <c r="C252" s="511">
        <v>0</v>
      </c>
      <c r="D252" s="50" t="s">
        <v>608</v>
      </c>
      <c r="E252" s="50"/>
    </row>
    <row r="253" spans="1:5" ht="14.25" customHeight="1">
      <c r="A253" s="50" t="s">
        <v>143</v>
      </c>
      <c r="B253" s="511">
        <v>80</v>
      </c>
      <c r="C253" s="511">
        <v>40</v>
      </c>
      <c r="D253" s="50" t="s">
        <v>608</v>
      </c>
      <c r="E253" s="50"/>
    </row>
    <row r="254" spans="1:5" ht="14.25" customHeight="1">
      <c r="A254" s="50" t="s">
        <v>144</v>
      </c>
      <c r="B254" s="511">
        <v>80</v>
      </c>
      <c r="C254" s="511">
        <v>40</v>
      </c>
      <c r="D254" s="50" t="s">
        <v>608</v>
      </c>
      <c r="E254" s="50"/>
    </row>
    <row r="255" spans="1:5" ht="14.25" customHeight="1">
      <c r="A255" s="50" t="s">
        <v>145</v>
      </c>
      <c r="B255" s="511">
        <v>0</v>
      </c>
      <c r="C255" s="511">
        <v>40</v>
      </c>
      <c r="D255" s="50" t="s">
        <v>608</v>
      </c>
      <c r="E255" s="50"/>
    </row>
    <row r="256" spans="1:5" ht="14.25" customHeight="1">
      <c r="A256" s="50" t="s">
        <v>146</v>
      </c>
      <c r="B256" s="511">
        <v>144</v>
      </c>
      <c r="C256" s="511">
        <v>0</v>
      </c>
      <c r="D256" s="50" t="s">
        <v>608</v>
      </c>
      <c r="E256" s="50"/>
    </row>
    <row r="257" spans="1:5" ht="15" thickBot="1">
      <c r="A257" s="75"/>
      <c r="B257" s="75"/>
      <c r="C257" s="75"/>
      <c r="D257" s="75"/>
      <c r="E257" s="75"/>
    </row>
    <row r="258" spans="1:5">
      <c r="A258" s="70" t="s">
        <v>248</v>
      </c>
      <c r="B258" s="50" t="s">
        <v>619</v>
      </c>
      <c r="C258" s="50"/>
      <c r="D258" s="50"/>
    </row>
    <row r="259" spans="1:5" ht="15">
      <c r="A259" s="71" t="s">
        <v>249</v>
      </c>
      <c r="B259" s="71" t="s">
        <v>31</v>
      </c>
      <c r="C259" s="71" t="s">
        <v>611</v>
      </c>
      <c r="D259" s="50"/>
      <c r="E259" s="50"/>
    </row>
    <row r="260" spans="1:5">
      <c r="A260" s="50" t="s">
        <v>251</v>
      </c>
      <c r="B260" s="511">
        <v>15</v>
      </c>
      <c r="C260" s="48" t="s">
        <v>612</v>
      </c>
      <c r="D260" s="50"/>
      <c r="E260" s="50"/>
    </row>
    <row r="261" spans="1:5">
      <c r="A261" s="50" t="s">
        <v>252</v>
      </c>
      <c r="B261" s="511">
        <v>30</v>
      </c>
      <c r="C261" s="48" t="s">
        <v>618</v>
      </c>
      <c r="D261" s="50"/>
      <c r="E261" s="50"/>
    </row>
    <row r="262" spans="1:5" ht="15">
      <c r="A262" s="71" t="s">
        <v>250</v>
      </c>
      <c r="B262" s="512" t="s">
        <v>31</v>
      </c>
      <c r="C262" s="71" t="s">
        <v>611</v>
      </c>
      <c r="D262" s="50"/>
      <c r="E262" s="50"/>
    </row>
    <row r="263" spans="1:5">
      <c r="A263" s="50" t="s">
        <v>253</v>
      </c>
      <c r="B263" s="511">
        <v>0</v>
      </c>
      <c r="C263" s="50" t="s">
        <v>276</v>
      </c>
      <c r="E263" s="50"/>
    </row>
    <row r="264" spans="1:5">
      <c r="A264" s="50" t="s">
        <v>617</v>
      </c>
      <c r="B264" s="511">
        <v>30</v>
      </c>
      <c r="C264" s="48" t="s">
        <v>612</v>
      </c>
      <c r="D264" s="50"/>
      <c r="E264" s="50"/>
    </row>
    <row r="265" spans="1:5">
      <c r="A265" s="50" t="s">
        <v>616</v>
      </c>
      <c r="B265" s="511">
        <v>20</v>
      </c>
      <c r="C265" s="48" t="s">
        <v>612</v>
      </c>
      <c r="E265" s="50"/>
    </row>
    <row r="266" spans="1:5">
      <c r="A266" s="50" t="s">
        <v>273</v>
      </c>
      <c r="B266" s="511">
        <v>40</v>
      </c>
      <c r="C266" s="48" t="s">
        <v>612</v>
      </c>
      <c r="E266" s="50"/>
    </row>
    <row r="267" spans="1:5">
      <c r="A267" s="50" t="s">
        <v>254</v>
      </c>
      <c r="B267" s="511">
        <v>0</v>
      </c>
      <c r="C267" s="50" t="s">
        <v>276</v>
      </c>
      <c r="E267" s="50"/>
    </row>
    <row r="268" spans="1:5">
      <c r="A268" s="50" t="s">
        <v>255</v>
      </c>
      <c r="B268" s="511">
        <v>0</v>
      </c>
      <c r="C268" s="50" t="s">
        <v>276</v>
      </c>
      <c r="E268" s="50"/>
    </row>
    <row r="269" spans="1:5">
      <c r="A269" s="50" t="s">
        <v>256</v>
      </c>
      <c r="B269" s="511">
        <v>0</v>
      </c>
      <c r="C269" s="50" t="s">
        <v>276</v>
      </c>
      <c r="D269" s="50"/>
      <c r="E269" s="50"/>
    </row>
    <row r="270" spans="1:5">
      <c r="A270" s="50" t="s">
        <v>615</v>
      </c>
      <c r="B270" s="511">
        <v>0</v>
      </c>
      <c r="C270" s="50" t="s">
        <v>276</v>
      </c>
      <c r="D270" s="50"/>
      <c r="E270" s="50"/>
    </row>
    <row r="271" spans="1:5">
      <c r="A271" s="50" t="s">
        <v>257</v>
      </c>
      <c r="B271" s="511">
        <v>50</v>
      </c>
      <c r="C271" s="48" t="s">
        <v>612</v>
      </c>
      <c r="D271" s="50"/>
      <c r="E271" s="50"/>
    </row>
    <row r="272" spans="1:5">
      <c r="A272" s="50" t="s">
        <v>258</v>
      </c>
      <c r="B272" s="511">
        <v>22</v>
      </c>
      <c r="C272" s="48" t="s">
        <v>612</v>
      </c>
      <c r="D272" s="50"/>
      <c r="E272" s="50"/>
    </row>
    <row r="273" spans="1:5">
      <c r="A273" s="50" t="s">
        <v>259</v>
      </c>
      <c r="B273" s="511">
        <v>35</v>
      </c>
      <c r="C273" s="48" t="s">
        <v>612</v>
      </c>
      <c r="D273" s="50"/>
      <c r="E273" s="50"/>
    </row>
    <row r="274" spans="1:5">
      <c r="A274" s="50" t="s">
        <v>260</v>
      </c>
      <c r="B274" s="511">
        <v>30</v>
      </c>
      <c r="C274" s="48" t="s">
        <v>612</v>
      </c>
      <c r="D274" s="50"/>
      <c r="E274" s="50"/>
    </row>
    <row r="275" spans="1:5">
      <c r="A275" s="50" t="s">
        <v>261</v>
      </c>
      <c r="B275" s="511">
        <v>20</v>
      </c>
      <c r="C275" s="48" t="s">
        <v>612</v>
      </c>
      <c r="D275" s="50"/>
      <c r="E275" s="50"/>
    </row>
    <row r="276" spans="1:5">
      <c r="A276" s="50" t="s">
        <v>262</v>
      </c>
      <c r="B276" s="511">
        <v>30</v>
      </c>
      <c r="C276" s="48" t="s">
        <v>612</v>
      </c>
      <c r="D276" s="50"/>
      <c r="E276" s="50"/>
    </row>
    <row r="277" spans="1:5">
      <c r="A277" s="50" t="s">
        <v>263</v>
      </c>
      <c r="B277" s="511">
        <v>40</v>
      </c>
      <c r="C277" s="48" t="s">
        <v>612</v>
      </c>
      <c r="D277" s="50"/>
      <c r="E277" s="50"/>
    </row>
    <row r="278" spans="1:5">
      <c r="A278" s="50" t="s">
        <v>264</v>
      </c>
      <c r="B278" s="511">
        <v>30</v>
      </c>
      <c r="C278" s="48" t="s">
        <v>612</v>
      </c>
      <c r="D278" s="50"/>
      <c r="E278" s="50"/>
    </row>
    <row r="279" spans="1:5">
      <c r="A279" s="50" t="s">
        <v>265</v>
      </c>
      <c r="B279" s="511">
        <v>30</v>
      </c>
      <c r="C279" s="48" t="s">
        <v>612</v>
      </c>
      <c r="D279" s="50"/>
      <c r="E279" s="50"/>
    </row>
    <row r="280" spans="1:5">
      <c r="A280" s="50" t="s">
        <v>614</v>
      </c>
      <c r="B280" s="511">
        <v>20</v>
      </c>
      <c r="C280" s="48" t="s">
        <v>612</v>
      </c>
      <c r="E280" s="50"/>
    </row>
    <row r="281" spans="1:5">
      <c r="A281" s="50" t="s">
        <v>271</v>
      </c>
      <c r="B281" s="511">
        <v>30</v>
      </c>
      <c r="C281" s="48" t="s">
        <v>612</v>
      </c>
      <c r="E281" s="50"/>
    </row>
    <row r="282" spans="1:5">
      <c r="A282" s="50" t="s">
        <v>272</v>
      </c>
      <c r="B282" s="511">
        <v>50</v>
      </c>
      <c r="C282" s="48" t="s">
        <v>612</v>
      </c>
      <c r="D282" s="50"/>
      <c r="E282" s="50"/>
    </row>
    <row r="283" spans="1:5">
      <c r="A283" s="50" t="s">
        <v>275</v>
      </c>
      <c r="B283" s="511">
        <v>25</v>
      </c>
      <c r="C283" s="48" t="s">
        <v>612</v>
      </c>
      <c r="D283" s="50"/>
      <c r="E283" s="50"/>
    </row>
    <row r="284" spans="1:5">
      <c r="A284" s="50" t="s">
        <v>266</v>
      </c>
      <c r="B284" s="511">
        <v>20</v>
      </c>
      <c r="C284" s="48" t="s">
        <v>612</v>
      </c>
      <c r="D284" s="50"/>
      <c r="E284" s="50"/>
    </row>
    <row r="285" spans="1:5">
      <c r="A285" s="50" t="s">
        <v>267</v>
      </c>
      <c r="B285" s="511">
        <v>20</v>
      </c>
      <c r="C285" s="48" t="s">
        <v>612</v>
      </c>
      <c r="D285" s="50"/>
      <c r="E285" s="50"/>
    </row>
    <row r="286" spans="1:5">
      <c r="A286" s="50" t="s">
        <v>268</v>
      </c>
      <c r="B286" s="511">
        <v>0</v>
      </c>
      <c r="C286" s="50" t="s">
        <v>276</v>
      </c>
      <c r="D286" s="50"/>
      <c r="E286" s="50"/>
    </row>
    <row r="287" spans="1:5">
      <c r="A287" s="50" t="s">
        <v>269</v>
      </c>
      <c r="B287" s="511">
        <v>0</v>
      </c>
      <c r="C287" s="50" t="s">
        <v>276</v>
      </c>
      <c r="E287" s="50"/>
    </row>
    <row r="288" spans="1:5">
      <c r="A288" s="50" t="s">
        <v>270</v>
      </c>
      <c r="B288" s="511">
        <v>30</v>
      </c>
      <c r="C288" s="48" t="s">
        <v>612</v>
      </c>
      <c r="D288" s="50"/>
      <c r="E288" s="50"/>
    </row>
    <row r="289" spans="1:5">
      <c r="A289" s="50" t="s">
        <v>274</v>
      </c>
      <c r="B289" s="511">
        <v>0</v>
      </c>
      <c r="C289" s="50" t="s">
        <v>276</v>
      </c>
      <c r="D289" s="50"/>
      <c r="E289" s="50"/>
    </row>
    <row r="290" spans="1:5">
      <c r="A290" s="50" t="s">
        <v>613</v>
      </c>
      <c r="B290" s="511">
        <v>20</v>
      </c>
      <c r="C290" s="48" t="s">
        <v>612</v>
      </c>
      <c r="D290" s="50"/>
      <c r="E290" s="50"/>
    </row>
    <row r="291" spans="1:5" ht="15">
      <c r="A291" s="71" t="s">
        <v>277</v>
      </c>
      <c r="B291" s="512" t="s">
        <v>31</v>
      </c>
      <c r="C291" s="71" t="s">
        <v>611</v>
      </c>
      <c r="D291" s="50"/>
      <c r="E291" s="50"/>
    </row>
    <row r="292" spans="1:5">
      <c r="A292" s="50" t="s">
        <v>278</v>
      </c>
      <c r="B292" s="511">
        <v>100</v>
      </c>
      <c r="C292" s="48" t="s">
        <v>610</v>
      </c>
      <c r="D292" s="50"/>
      <c r="E292" s="50"/>
    </row>
    <row r="293" spans="1:5">
      <c r="A293" s="50" t="s">
        <v>279</v>
      </c>
      <c r="B293" s="511">
        <v>100</v>
      </c>
      <c r="C293" s="48" t="s">
        <v>609</v>
      </c>
      <c r="D293" s="50"/>
      <c r="E293" s="50"/>
    </row>
    <row r="294" spans="1:5">
      <c r="A294" s="50" t="s">
        <v>280</v>
      </c>
      <c r="B294" s="511">
        <v>65</v>
      </c>
      <c r="C294" s="50" t="s">
        <v>608</v>
      </c>
      <c r="D294" s="50"/>
      <c r="E294" s="50"/>
    </row>
    <row r="295" spans="1:5">
      <c r="A295" s="50"/>
      <c r="B295" s="511"/>
      <c r="C295" s="50"/>
      <c r="D295" s="50"/>
      <c r="E295" s="50"/>
    </row>
    <row r="296" spans="1:5" ht="15">
      <c r="A296" s="71" t="s">
        <v>878</v>
      </c>
      <c r="B296" s="50" t="s">
        <v>879</v>
      </c>
      <c r="C296" s="50"/>
      <c r="D296" s="50"/>
      <c r="E296" s="50"/>
    </row>
    <row r="297" spans="1:5">
      <c r="A297" s="558" t="s">
        <v>880</v>
      </c>
      <c r="B297" s="558" t="s">
        <v>884</v>
      </c>
      <c r="C297" s="558" t="s">
        <v>881</v>
      </c>
      <c r="D297" s="50"/>
      <c r="E297" s="50"/>
    </row>
    <row r="298" spans="1:5">
      <c r="A298" s="50" t="s">
        <v>882</v>
      </c>
      <c r="B298" s="557">
        <v>9168</v>
      </c>
      <c r="C298" s="557">
        <v>764</v>
      </c>
      <c r="D298" s="50"/>
      <c r="E298" s="50"/>
    </row>
    <row r="299" spans="1:5">
      <c r="A299" s="50" t="s">
        <v>883</v>
      </c>
      <c r="B299" s="557">
        <v>12840</v>
      </c>
      <c r="C299" s="557">
        <v>1070</v>
      </c>
      <c r="D299" s="50"/>
      <c r="E299" s="50"/>
    </row>
    <row r="300" spans="1:5">
      <c r="A300" s="50" t="s">
        <v>885</v>
      </c>
      <c r="B300" s="557">
        <v>24324</v>
      </c>
      <c r="C300" s="557">
        <v>2027</v>
      </c>
      <c r="D300" s="50"/>
    </row>
    <row r="301" spans="1:5">
      <c r="A301" s="1019" t="s">
        <v>886</v>
      </c>
      <c r="B301" s="1019"/>
      <c r="C301" s="1019"/>
      <c r="D301" s="50"/>
      <c r="E301" s="50"/>
    </row>
    <row r="302" spans="1:5">
      <c r="A302" s="227">
        <v>0</v>
      </c>
      <c r="B302" s="557">
        <v>48432</v>
      </c>
      <c r="C302" s="557">
        <v>4036</v>
      </c>
      <c r="D302" s="50"/>
    </row>
    <row r="303" spans="1:5">
      <c r="A303" s="227">
        <v>1</v>
      </c>
      <c r="B303" s="557">
        <v>48804</v>
      </c>
      <c r="C303" s="557">
        <v>4067</v>
      </c>
      <c r="D303" s="50"/>
    </row>
    <row r="304" spans="1:5">
      <c r="A304" s="227">
        <v>2</v>
      </c>
      <c r="B304" s="557">
        <v>49188</v>
      </c>
      <c r="C304" s="557">
        <v>4099</v>
      </c>
      <c r="D304" s="50"/>
    </row>
    <row r="305" spans="1:5">
      <c r="A305" s="227">
        <v>3</v>
      </c>
      <c r="B305" s="557">
        <v>51324</v>
      </c>
      <c r="C305" s="557">
        <v>4277</v>
      </c>
      <c r="D305" s="50"/>
    </row>
    <row r="306" spans="1:5">
      <c r="A306" s="227">
        <v>4</v>
      </c>
      <c r="B306" s="557">
        <v>53184</v>
      </c>
      <c r="C306" s="557">
        <v>4432</v>
      </c>
      <c r="D306" s="50"/>
    </row>
    <row r="307" spans="1:5">
      <c r="A307" s="227">
        <v>5</v>
      </c>
      <c r="B307" s="557">
        <v>55308</v>
      </c>
      <c r="C307" s="557">
        <v>4609</v>
      </c>
      <c r="D307" s="50"/>
    </row>
    <row r="308" spans="1:5">
      <c r="A308" s="227">
        <v>6</v>
      </c>
      <c r="B308" s="557">
        <v>57528</v>
      </c>
      <c r="C308" s="557">
        <v>4794</v>
      </c>
      <c r="D308" s="50"/>
    </row>
    <row r="309" spans="1:5">
      <c r="A309" s="227" t="s">
        <v>887</v>
      </c>
      <c r="B309" s="557">
        <v>59736</v>
      </c>
      <c r="C309" s="557">
        <v>4978</v>
      </c>
      <c r="D309" s="50"/>
    </row>
    <row r="310" spans="1:5">
      <c r="A310" s="559"/>
      <c r="B310" s="559"/>
      <c r="C310" s="559"/>
      <c r="D310" s="50"/>
      <c r="E310" s="50"/>
    </row>
    <row r="311" spans="1:5">
      <c r="A311" s="390" t="s">
        <v>890</v>
      </c>
      <c r="B311" s="50"/>
      <c r="C311" s="50"/>
      <c r="D311" s="50"/>
      <c r="E311" s="50"/>
    </row>
    <row r="312" spans="1:5">
      <c r="A312" s="50"/>
      <c r="B312" s="50" t="s">
        <v>36</v>
      </c>
      <c r="C312" s="50" t="s">
        <v>891</v>
      </c>
      <c r="D312" s="50"/>
      <c r="E312" s="50"/>
    </row>
    <row r="313" spans="1:5">
      <c r="A313" s="390" t="s">
        <v>892</v>
      </c>
      <c r="B313" s="557">
        <v>18689</v>
      </c>
      <c r="C313" s="557">
        <v>74757</v>
      </c>
      <c r="D313" s="50"/>
      <c r="E313" s="50"/>
    </row>
    <row r="314" spans="1:5">
      <c r="A314" s="390" t="s">
        <v>893</v>
      </c>
      <c r="B314" s="557">
        <v>4672</v>
      </c>
      <c r="C314" s="557">
        <v>18688</v>
      </c>
      <c r="D314" s="50"/>
      <c r="E314" s="50"/>
    </row>
    <row r="315" spans="1:5">
      <c r="A315" s="390" t="s">
        <v>894</v>
      </c>
      <c r="B315" s="557">
        <v>3867</v>
      </c>
      <c r="C315" s="557">
        <v>15468</v>
      </c>
      <c r="D315" s="50"/>
      <c r="E315" s="50"/>
    </row>
    <row r="316" spans="1:5">
      <c r="A316" s="390" t="s">
        <v>895</v>
      </c>
      <c r="B316" s="557">
        <v>14822</v>
      </c>
      <c r="C316" s="557">
        <v>59289</v>
      </c>
      <c r="D316" s="50"/>
      <c r="E316" s="50"/>
    </row>
    <row r="317" spans="1:5">
      <c r="A317" s="390" t="s">
        <v>896</v>
      </c>
      <c r="B317" s="557">
        <v>805</v>
      </c>
      <c r="C317" s="557">
        <v>3220</v>
      </c>
      <c r="D317" s="50"/>
      <c r="E317" s="50"/>
    </row>
    <row r="318" spans="1:5">
      <c r="A318" s="390"/>
      <c r="B318" s="50"/>
      <c r="C318" s="50"/>
      <c r="D318" s="50"/>
      <c r="E318" s="50"/>
    </row>
    <row r="319" spans="1:5">
      <c r="A319" s="390"/>
      <c r="B319" s="50" t="s">
        <v>897</v>
      </c>
      <c r="C319" s="50" t="s">
        <v>891</v>
      </c>
      <c r="D319" s="50"/>
      <c r="E319" s="50"/>
    </row>
    <row r="320" spans="1:5">
      <c r="A320" s="390" t="s">
        <v>898</v>
      </c>
      <c r="B320" s="557">
        <v>2737</v>
      </c>
      <c r="C320" s="557">
        <v>32844</v>
      </c>
      <c r="D320" s="50"/>
      <c r="E320" s="50"/>
    </row>
    <row r="321" spans="1:5">
      <c r="A321" s="50"/>
      <c r="B321" s="50"/>
      <c r="C321" s="50"/>
      <c r="D321" s="50"/>
      <c r="E321" s="50"/>
    </row>
    <row r="322" spans="1:5">
      <c r="A322" s="50"/>
      <c r="B322" s="50"/>
      <c r="C322" s="50"/>
      <c r="D322" s="50"/>
      <c r="E322" s="50"/>
    </row>
    <row r="323" spans="1:5">
      <c r="A323" s="50"/>
      <c r="B323" s="50"/>
      <c r="C323" s="50"/>
      <c r="D323" s="50"/>
      <c r="E323" s="50"/>
    </row>
    <row r="324" spans="1:5">
      <c r="A324" s="50"/>
      <c r="B324" s="50"/>
      <c r="C324" s="50"/>
      <c r="D324" s="50"/>
      <c r="E324" s="50"/>
    </row>
    <row r="325" spans="1:5">
      <c r="A325" s="50"/>
      <c r="B325" s="50"/>
      <c r="C325" s="50"/>
      <c r="D325" s="50"/>
      <c r="E325" s="50"/>
    </row>
    <row r="326" spans="1:5">
      <c r="A326" s="50"/>
      <c r="B326" s="50"/>
      <c r="C326" s="50"/>
      <c r="D326" s="50"/>
      <c r="E326" s="50"/>
    </row>
    <row r="327" spans="1:5">
      <c r="A327" s="50"/>
      <c r="B327" s="50"/>
      <c r="C327" s="50"/>
      <c r="D327" s="50"/>
      <c r="E327" s="50"/>
    </row>
    <row r="328" spans="1:5">
      <c r="A328" s="50"/>
      <c r="B328" s="50"/>
      <c r="C328" s="50"/>
      <c r="D328" s="50"/>
      <c r="E328" s="50"/>
    </row>
    <row r="329" spans="1:5">
      <c r="A329" s="50"/>
      <c r="B329" s="50"/>
      <c r="C329" s="50"/>
      <c r="D329" s="50"/>
      <c r="E329" s="50"/>
    </row>
    <row r="330" spans="1:5">
      <c r="A330" s="50"/>
      <c r="B330" s="50"/>
      <c r="C330" s="50"/>
      <c r="D330" s="50"/>
      <c r="E330" s="50"/>
    </row>
    <row r="331" spans="1:5">
      <c r="A331" s="50"/>
      <c r="B331" s="50"/>
      <c r="C331" s="50"/>
      <c r="D331" s="50"/>
      <c r="E331" s="50"/>
    </row>
    <row r="332" spans="1:5">
      <c r="A332" s="50"/>
      <c r="B332" s="50"/>
      <c r="C332" s="50"/>
      <c r="D332" s="50"/>
      <c r="E332" s="50"/>
    </row>
    <row r="333" spans="1:5">
      <c r="A333" s="50"/>
      <c r="B333" s="50"/>
      <c r="C333" s="50"/>
      <c r="D333" s="50"/>
      <c r="E333" s="50"/>
    </row>
    <row r="334" spans="1:5">
      <c r="A334" s="50"/>
      <c r="B334" s="50"/>
      <c r="C334" s="50"/>
      <c r="D334" s="50"/>
      <c r="E334" s="50"/>
    </row>
    <row r="335" spans="1:5">
      <c r="A335" s="50"/>
      <c r="B335" s="50"/>
      <c r="C335" s="50"/>
      <c r="D335" s="50"/>
      <c r="E335" s="50"/>
    </row>
    <row r="336" spans="1:5">
      <c r="A336" s="50"/>
      <c r="B336" s="50"/>
      <c r="C336" s="50"/>
      <c r="D336" s="50"/>
      <c r="E336" s="50"/>
    </row>
    <row r="337" spans="1:5">
      <c r="A337" s="50"/>
      <c r="B337" s="50"/>
      <c r="C337" s="50"/>
      <c r="D337" s="50"/>
      <c r="E337" s="50"/>
    </row>
    <row r="338" spans="1:5">
      <c r="A338" s="50"/>
      <c r="B338" s="50"/>
      <c r="C338" s="50"/>
      <c r="D338" s="50"/>
      <c r="E338" s="50"/>
    </row>
    <row r="339" spans="1:5">
      <c r="A339" s="50"/>
      <c r="B339" s="50"/>
      <c r="C339" s="50"/>
      <c r="D339" s="50"/>
      <c r="E339" s="50"/>
    </row>
    <row r="340" spans="1:5">
      <c r="A340" s="50"/>
      <c r="B340" s="50"/>
      <c r="C340" s="50"/>
      <c r="D340" s="50"/>
      <c r="E340" s="50"/>
    </row>
    <row r="341" spans="1:5">
      <c r="A341" s="50"/>
      <c r="B341" s="50"/>
      <c r="C341" s="50"/>
      <c r="D341" s="50"/>
      <c r="E341" s="50"/>
    </row>
    <row r="342" spans="1:5">
      <c r="A342" s="50"/>
      <c r="B342" s="50"/>
      <c r="C342" s="50"/>
      <c r="D342" s="50"/>
      <c r="E342" s="50"/>
    </row>
    <row r="343" spans="1:5">
      <c r="A343" s="50"/>
      <c r="B343" s="50"/>
      <c r="C343" s="50"/>
      <c r="D343" s="50"/>
      <c r="E343" s="50"/>
    </row>
    <row r="344" spans="1:5">
      <c r="A344" s="50"/>
      <c r="B344" s="50"/>
      <c r="C344" s="50"/>
      <c r="D344" s="50"/>
      <c r="E344" s="50"/>
    </row>
    <row r="345" spans="1:5">
      <c r="A345" s="50"/>
      <c r="B345" s="50"/>
      <c r="C345" s="50"/>
      <c r="D345" s="50"/>
      <c r="E345" s="50"/>
    </row>
    <row r="346" spans="1:5">
      <c r="A346" s="50"/>
      <c r="B346" s="50"/>
      <c r="C346" s="50"/>
      <c r="D346" s="50"/>
      <c r="E346" s="50"/>
    </row>
    <row r="347" spans="1:5">
      <c r="A347" s="50"/>
      <c r="B347" s="50"/>
      <c r="C347" s="50"/>
      <c r="D347" s="50"/>
      <c r="E347" s="50"/>
    </row>
    <row r="348" spans="1:5">
      <c r="A348" s="50"/>
      <c r="B348" s="50"/>
      <c r="C348" s="50"/>
      <c r="D348" s="50"/>
      <c r="E348" s="50"/>
    </row>
    <row r="349" spans="1:5">
      <c r="A349" s="50"/>
      <c r="B349" s="50"/>
      <c r="C349" s="50"/>
      <c r="D349" s="50"/>
      <c r="E349" s="50"/>
    </row>
    <row r="350" spans="1:5">
      <c r="A350" s="50"/>
      <c r="B350" s="50"/>
      <c r="C350" s="50"/>
      <c r="D350" s="50"/>
      <c r="E350" s="50"/>
    </row>
    <row r="351" spans="1:5">
      <c r="A351" s="50"/>
      <c r="B351" s="50"/>
      <c r="C351" s="50"/>
      <c r="D351" s="50"/>
      <c r="E351" s="50"/>
    </row>
    <row r="352" spans="1:5">
      <c r="A352" s="50"/>
      <c r="B352" s="50"/>
      <c r="C352" s="50"/>
      <c r="D352" s="50"/>
      <c r="E352" s="50"/>
    </row>
    <row r="353" spans="1:5">
      <c r="A353" s="50"/>
      <c r="B353" s="50"/>
      <c r="C353" s="50"/>
      <c r="D353" s="50"/>
      <c r="E353" s="50"/>
    </row>
    <row r="354" spans="1:5">
      <c r="A354" s="50"/>
      <c r="B354" s="50"/>
      <c r="C354" s="50"/>
      <c r="D354" s="50"/>
      <c r="E354" s="50"/>
    </row>
    <row r="355" spans="1:5">
      <c r="A355" s="50"/>
      <c r="B355" s="50"/>
      <c r="C355" s="50"/>
      <c r="D355" s="50"/>
      <c r="E355" s="50"/>
    </row>
    <row r="356" spans="1:5">
      <c r="A356" s="50"/>
      <c r="B356" s="50"/>
      <c r="C356" s="50"/>
      <c r="D356" s="50"/>
      <c r="E356" s="50"/>
    </row>
    <row r="357" spans="1:5">
      <c r="A357" s="50"/>
      <c r="B357" s="50"/>
      <c r="C357" s="50"/>
      <c r="D357" s="50"/>
      <c r="E357" s="50"/>
    </row>
    <row r="358" spans="1:5">
      <c r="A358" s="50"/>
      <c r="B358" s="50"/>
      <c r="C358" s="50"/>
      <c r="D358" s="50"/>
      <c r="E358" s="50"/>
    </row>
    <row r="359" spans="1:5">
      <c r="A359" s="50"/>
      <c r="B359" s="50"/>
      <c r="C359" s="50"/>
      <c r="D359" s="50"/>
      <c r="E359" s="50"/>
    </row>
    <row r="360" spans="1:5">
      <c r="A360" s="50"/>
      <c r="B360" s="50"/>
      <c r="C360" s="50"/>
      <c r="D360" s="50"/>
      <c r="E360" s="50"/>
    </row>
    <row r="361" spans="1:5">
      <c r="A361" s="50"/>
      <c r="B361" s="50"/>
      <c r="C361" s="50"/>
      <c r="D361" s="50"/>
      <c r="E361" s="50"/>
    </row>
    <row r="362" spans="1:5">
      <c r="A362" s="50"/>
      <c r="B362" s="50"/>
      <c r="C362" s="50"/>
      <c r="D362" s="50"/>
      <c r="E362" s="50"/>
    </row>
    <row r="363" spans="1:5">
      <c r="A363" s="50"/>
      <c r="B363" s="50"/>
      <c r="C363" s="50"/>
      <c r="D363" s="50"/>
      <c r="E363" s="50"/>
    </row>
    <row r="364" spans="1:5">
      <c r="A364" s="50"/>
      <c r="B364" s="50"/>
      <c r="C364" s="50"/>
      <c r="D364" s="50"/>
      <c r="E364" s="50"/>
    </row>
    <row r="365" spans="1:5">
      <c r="A365" s="50"/>
      <c r="B365" s="50"/>
      <c r="C365" s="50"/>
      <c r="D365" s="50"/>
      <c r="E365" s="50"/>
    </row>
    <row r="366" spans="1:5">
      <c r="A366" s="50"/>
      <c r="B366" s="50"/>
      <c r="C366" s="50"/>
      <c r="D366" s="50"/>
      <c r="E366" s="50"/>
    </row>
    <row r="367" spans="1:5">
      <c r="A367" s="50"/>
      <c r="B367" s="50"/>
      <c r="C367" s="50"/>
      <c r="D367" s="50"/>
      <c r="E367" s="50"/>
    </row>
    <row r="368" spans="1:5">
      <c r="A368" s="50"/>
      <c r="B368" s="50"/>
      <c r="C368" s="50"/>
      <c r="D368" s="50"/>
      <c r="E368" s="50"/>
    </row>
    <row r="369" spans="1:5">
      <c r="A369" s="50"/>
      <c r="B369" s="50"/>
      <c r="C369" s="50"/>
      <c r="D369" s="50"/>
      <c r="E369" s="50"/>
    </row>
    <row r="370" spans="1:5">
      <c r="A370" s="50"/>
      <c r="B370" s="50"/>
      <c r="C370" s="50"/>
      <c r="D370" s="50"/>
      <c r="E370" s="50"/>
    </row>
    <row r="371" spans="1:5">
      <c r="A371" s="50"/>
      <c r="B371" s="50"/>
      <c r="C371" s="50"/>
      <c r="D371" s="50"/>
      <c r="E371" s="50"/>
    </row>
    <row r="372" spans="1:5">
      <c r="A372" s="50"/>
      <c r="B372" s="50"/>
      <c r="C372" s="50"/>
      <c r="D372" s="50"/>
      <c r="E372" s="50"/>
    </row>
    <row r="373" spans="1:5">
      <c r="A373" s="50"/>
      <c r="B373" s="50"/>
      <c r="C373" s="50"/>
      <c r="D373" s="50"/>
      <c r="E373" s="50"/>
    </row>
    <row r="374" spans="1:5">
      <c r="A374" s="50"/>
      <c r="B374" s="50"/>
      <c r="C374" s="50"/>
      <c r="D374" s="50"/>
      <c r="E374" s="50"/>
    </row>
    <row r="375" spans="1:5">
      <c r="A375" s="50"/>
      <c r="B375" s="50"/>
      <c r="C375" s="50"/>
      <c r="D375" s="50"/>
      <c r="E375" s="50"/>
    </row>
    <row r="376" spans="1:5">
      <c r="A376" s="50"/>
      <c r="B376" s="50"/>
      <c r="C376" s="50"/>
      <c r="D376" s="50"/>
      <c r="E376" s="50"/>
    </row>
    <row r="377" spans="1:5">
      <c r="A377" s="50"/>
      <c r="B377" s="50"/>
      <c r="C377" s="50"/>
      <c r="D377" s="50"/>
      <c r="E377" s="50"/>
    </row>
    <row r="378" spans="1:5">
      <c r="A378" s="50"/>
      <c r="B378" s="50"/>
      <c r="C378" s="50"/>
      <c r="D378" s="50"/>
      <c r="E378" s="50"/>
    </row>
    <row r="379" spans="1:5">
      <c r="A379" s="50"/>
      <c r="B379" s="50"/>
      <c r="C379" s="50"/>
      <c r="D379" s="50"/>
      <c r="E379" s="50"/>
    </row>
    <row r="380" spans="1:5">
      <c r="A380" s="50"/>
      <c r="B380" s="50"/>
      <c r="C380" s="50"/>
      <c r="D380" s="50"/>
      <c r="E380" s="50"/>
    </row>
    <row r="381" spans="1:5">
      <c r="A381" s="50"/>
      <c r="B381" s="50"/>
      <c r="C381" s="50"/>
      <c r="D381" s="50"/>
      <c r="E381" s="50"/>
    </row>
    <row r="382" spans="1:5">
      <c r="A382" s="50"/>
      <c r="B382" s="50"/>
      <c r="C382" s="50"/>
      <c r="D382" s="50"/>
      <c r="E382" s="50"/>
    </row>
    <row r="383" spans="1:5">
      <c r="A383" s="50"/>
      <c r="B383" s="50"/>
      <c r="C383" s="50"/>
      <c r="D383" s="50"/>
      <c r="E383" s="50"/>
    </row>
    <row r="384" spans="1:5">
      <c r="A384" s="50"/>
      <c r="B384" s="50"/>
      <c r="C384" s="50"/>
      <c r="D384" s="50"/>
      <c r="E384" s="50"/>
    </row>
    <row r="385" spans="1:5">
      <c r="A385" s="50"/>
      <c r="B385" s="50"/>
      <c r="C385" s="50"/>
      <c r="D385" s="50"/>
      <c r="E385" s="50"/>
    </row>
    <row r="386" spans="1:5">
      <c r="A386" s="50"/>
      <c r="B386" s="50"/>
      <c r="C386" s="50"/>
      <c r="D386" s="50"/>
      <c r="E386" s="50"/>
    </row>
    <row r="387" spans="1:5">
      <c r="A387" s="50"/>
      <c r="B387" s="50"/>
      <c r="C387" s="50"/>
      <c r="D387" s="50"/>
      <c r="E387" s="50"/>
    </row>
    <row r="388" spans="1:5">
      <c r="A388" s="50"/>
      <c r="B388" s="50"/>
      <c r="C388" s="50"/>
      <c r="D388" s="50"/>
      <c r="E388" s="50"/>
    </row>
    <row r="389" spans="1:5">
      <c r="A389" s="50"/>
      <c r="B389" s="50"/>
      <c r="C389" s="50"/>
      <c r="D389" s="50"/>
      <c r="E389" s="50"/>
    </row>
    <row r="390" spans="1:5">
      <c r="A390" s="50"/>
      <c r="B390" s="50"/>
      <c r="C390" s="50"/>
      <c r="D390" s="50"/>
      <c r="E390" s="50"/>
    </row>
    <row r="391" spans="1:5">
      <c r="A391" s="50"/>
      <c r="B391" s="50"/>
      <c r="C391" s="50"/>
      <c r="D391" s="50"/>
      <c r="E391" s="50"/>
    </row>
    <row r="392" spans="1:5">
      <c r="A392" s="50"/>
      <c r="B392" s="50"/>
      <c r="C392" s="50"/>
      <c r="D392" s="50"/>
      <c r="E392" s="50"/>
    </row>
    <row r="393" spans="1:5">
      <c r="A393" s="50"/>
      <c r="B393" s="50"/>
      <c r="C393" s="50"/>
      <c r="D393" s="50"/>
      <c r="E393" s="50"/>
    </row>
    <row r="394" spans="1:5">
      <c r="A394" s="50"/>
      <c r="B394" s="50"/>
      <c r="C394" s="50"/>
      <c r="D394" s="50"/>
      <c r="E394" s="50"/>
    </row>
    <row r="395" spans="1:5">
      <c r="A395" s="50"/>
      <c r="B395" s="50"/>
      <c r="C395" s="50"/>
      <c r="D395" s="50"/>
      <c r="E395" s="50"/>
    </row>
    <row r="396" spans="1:5">
      <c r="A396" s="50"/>
      <c r="B396" s="50"/>
      <c r="C396" s="50"/>
      <c r="D396" s="50"/>
      <c r="E396" s="50"/>
    </row>
    <row r="397" spans="1:5">
      <c r="A397" s="50"/>
      <c r="B397" s="50"/>
      <c r="C397" s="50"/>
      <c r="D397" s="50"/>
      <c r="E397" s="50"/>
    </row>
    <row r="398" spans="1:5">
      <c r="A398" s="50"/>
      <c r="B398" s="50"/>
      <c r="C398" s="50"/>
      <c r="D398" s="50"/>
      <c r="E398" s="50"/>
    </row>
    <row r="399" spans="1:5">
      <c r="A399" s="50"/>
      <c r="B399" s="50"/>
      <c r="C399" s="50"/>
      <c r="D399" s="50"/>
      <c r="E399" s="50"/>
    </row>
    <row r="400" spans="1:5">
      <c r="A400" s="50"/>
      <c r="B400" s="50"/>
      <c r="C400" s="50"/>
      <c r="D400" s="50"/>
      <c r="E400" s="50"/>
    </row>
    <row r="401" spans="1:5">
      <c r="A401" s="50"/>
      <c r="B401" s="50"/>
      <c r="C401" s="50"/>
      <c r="D401" s="50"/>
      <c r="E401" s="50"/>
    </row>
    <row r="402" spans="1:5">
      <c r="A402" s="50"/>
      <c r="B402" s="50"/>
      <c r="C402" s="50"/>
      <c r="D402" s="50"/>
      <c r="E402" s="50"/>
    </row>
    <row r="403" spans="1:5">
      <c r="A403" s="50"/>
      <c r="B403" s="50"/>
      <c r="C403" s="50"/>
      <c r="D403" s="50"/>
      <c r="E403" s="50"/>
    </row>
    <row r="404" spans="1:5">
      <c r="A404" s="50"/>
      <c r="B404" s="50"/>
      <c r="C404" s="50"/>
      <c r="D404" s="50"/>
      <c r="E404" s="50"/>
    </row>
    <row r="405" spans="1:5">
      <c r="A405" s="50"/>
      <c r="B405" s="50"/>
      <c r="C405" s="50"/>
      <c r="D405" s="50"/>
      <c r="E405" s="50"/>
    </row>
    <row r="406" spans="1:5">
      <c r="A406" s="50"/>
      <c r="B406" s="50"/>
      <c r="C406" s="50"/>
      <c r="D406" s="50"/>
      <c r="E406" s="50"/>
    </row>
    <row r="407" spans="1:5">
      <c r="A407" s="50"/>
      <c r="B407" s="50"/>
      <c r="C407" s="50"/>
      <c r="D407" s="50"/>
      <c r="E407" s="50"/>
    </row>
    <row r="408" spans="1:5">
      <c r="A408" s="50"/>
      <c r="B408" s="50"/>
      <c r="C408" s="50"/>
      <c r="D408" s="50"/>
      <c r="E408" s="50"/>
    </row>
    <row r="409" spans="1:5">
      <c r="A409" s="50"/>
      <c r="B409" s="50"/>
      <c r="C409" s="50"/>
      <c r="D409" s="50"/>
      <c r="E409" s="50"/>
    </row>
    <row r="410" spans="1:5">
      <c r="A410" s="50"/>
      <c r="B410" s="50"/>
      <c r="C410" s="50"/>
      <c r="D410" s="50"/>
      <c r="E410" s="50"/>
    </row>
    <row r="411" spans="1:5">
      <c r="A411" s="50"/>
      <c r="B411" s="50"/>
      <c r="C411" s="50"/>
      <c r="D411" s="50"/>
      <c r="E411" s="50"/>
    </row>
    <row r="412" spans="1:5">
      <c r="A412" s="50"/>
      <c r="B412" s="50"/>
      <c r="C412" s="50"/>
      <c r="D412" s="50"/>
      <c r="E412" s="50"/>
    </row>
    <row r="413" spans="1:5">
      <c r="A413" s="50"/>
      <c r="B413" s="50"/>
      <c r="C413" s="50"/>
      <c r="D413" s="50"/>
      <c r="E413" s="50"/>
    </row>
    <row r="414" spans="1:5">
      <c r="A414" s="50"/>
      <c r="B414" s="50"/>
      <c r="C414" s="50"/>
      <c r="D414" s="50"/>
      <c r="E414" s="50"/>
    </row>
    <row r="415" spans="1:5">
      <c r="A415" s="50"/>
      <c r="B415" s="50"/>
      <c r="C415" s="50"/>
      <c r="D415" s="50"/>
      <c r="E415" s="50"/>
    </row>
    <row r="416" spans="1:5">
      <c r="A416" s="50"/>
      <c r="B416" s="50"/>
      <c r="C416" s="50"/>
      <c r="D416" s="50"/>
      <c r="E416" s="50"/>
    </row>
    <row r="417" spans="1:5">
      <c r="A417" s="50"/>
      <c r="B417" s="50"/>
      <c r="C417" s="50"/>
      <c r="D417" s="50"/>
      <c r="E417" s="50"/>
    </row>
    <row r="418" spans="1:5">
      <c r="A418" s="50"/>
      <c r="B418" s="50"/>
      <c r="C418" s="50"/>
      <c r="D418" s="50"/>
      <c r="E418" s="50"/>
    </row>
    <row r="419" spans="1:5">
      <c r="A419" s="50"/>
      <c r="B419" s="50"/>
      <c r="C419" s="50"/>
      <c r="D419" s="50"/>
      <c r="E419" s="50"/>
    </row>
    <row r="420" spans="1:5">
      <c r="A420" s="50"/>
      <c r="B420" s="50"/>
      <c r="C420" s="50"/>
      <c r="D420" s="50"/>
      <c r="E420" s="50"/>
    </row>
    <row r="421" spans="1:5">
      <c r="A421" s="50"/>
      <c r="B421" s="50"/>
      <c r="C421" s="50"/>
      <c r="D421" s="50"/>
      <c r="E421" s="50"/>
    </row>
    <row r="422" spans="1:5">
      <c r="A422" s="50"/>
      <c r="B422" s="50"/>
      <c r="C422" s="50"/>
      <c r="D422" s="50"/>
      <c r="E422" s="50"/>
    </row>
    <row r="423" spans="1:5">
      <c r="A423" s="50"/>
      <c r="B423" s="50"/>
      <c r="C423" s="50"/>
      <c r="D423" s="50"/>
      <c r="E423" s="50"/>
    </row>
    <row r="424" spans="1:5">
      <c r="A424" s="50"/>
      <c r="B424" s="50"/>
      <c r="C424" s="50"/>
      <c r="D424" s="50"/>
      <c r="E424" s="50"/>
    </row>
    <row r="425" spans="1:5">
      <c r="A425" s="50"/>
      <c r="B425" s="50"/>
      <c r="C425" s="50"/>
      <c r="D425" s="50"/>
      <c r="E425" s="50"/>
    </row>
    <row r="426" spans="1:5">
      <c r="A426" s="50"/>
      <c r="B426" s="50"/>
      <c r="C426" s="50"/>
      <c r="D426" s="50"/>
      <c r="E426" s="50"/>
    </row>
    <row r="427" spans="1:5">
      <c r="A427" s="50"/>
      <c r="B427" s="50"/>
      <c r="C427" s="50"/>
      <c r="D427" s="50"/>
      <c r="E427" s="50"/>
    </row>
    <row r="428" spans="1:5">
      <c r="A428" s="50"/>
      <c r="B428" s="50"/>
      <c r="C428" s="50"/>
      <c r="D428" s="50"/>
      <c r="E428" s="50"/>
    </row>
    <row r="429" spans="1:5">
      <c r="A429" s="50"/>
      <c r="B429" s="50"/>
      <c r="C429" s="50"/>
      <c r="D429" s="50"/>
      <c r="E429" s="50"/>
    </row>
    <row r="430" spans="1:5">
      <c r="A430" s="50"/>
      <c r="B430" s="50"/>
      <c r="C430" s="50"/>
      <c r="D430" s="50"/>
      <c r="E430" s="50"/>
    </row>
    <row r="431" spans="1:5">
      <c r="A431" s="50"/>
      <c r="B431" s="50"/>
      <c r="C431" s="50"/>
      <c r="D431" s="50"/>
      <c r="E431" s="50"/>
    </row>
    <row r="432" spans="1:5">
      <c r="A432" s="50"/>
      <c r="B432" s="50"/>
      <c r="C432" s="50"/>
      <c r="D432" s="50"/>
      <c r="E432" s="50"/>
    </row>
    <row r="433" spans="1:5">
      <c r="A433" s="50"/>
      <c r="B433" s="50"/>
      <c r="C433" s="50"/>
      <c r="D433" s="50"/>
      <c r="E433" s="50"/>
    </row>
    <row r="434" spans="1:5">
      <c r="A434" s="50"/>
      <c r="B434" s="50"/>
      <c r="C434" s="50"/>
      <c r="D434" s="50"/>
      <c r="E434" s="50"/>
    </row>
    <row r="435" spans="1:5">
      <c r="A435" s="50"/>
      <c r="B435" s="50"/>
      <c r="C435" s="50"/>
      <c r="D435" s="50"/>
      <c r="E435" s="50"/>
    </row>
    <row r="436" spans="1:5">
      <c r="A436" s="50"/>
      <c r="B436" s="50"/>
      <c r="C436" s="50"/>
      <c r="D436" s="50"/>
      <c r="E436" s="50"/>
    </row>
    <row r="437" spans="1:5">
      <c r="A437" s="50"/>
      <c r="B437" s="50"/>
      <c r="C437" s="50"/>
      <c r="D437" s="50"/>
      <c r="E437" s="50"/>
    </row>
    <row r="438" spans="1:5">
      <c r="A438" s="50"/>
      <c r="B438" s="50"/>
      <c r="C438" s="50"/>
      <c r="D438" s="50"/>
      <c r="E438" s="50"/>
    </row>
    <row r="439" spans="1:5">
      <c r="A439" s="50"/>
      <c r="B439" s="50"/>
      <c r="C439" s="50"/>
      <c r="D439" s="50"/>
      <c r="E439" s="50"/>
    </row>
    <row r="440" spans="1:5">
      <c r="A440" s="50"/>
      <c r="B440" s="50"/>
      <c r="C440" s="50"/>
      <c r="D440" s="50"/>
      <c r="E440" s="50"/>
    </row>
    <row r="441" spans="1:5">
      <c r="A441" s="50"/>
      <c r="B441" s="50"/>
      <c r="C441" s="50"/>
      <c r="D441" s="50"/>
      <c r="E441" s="50"/>
    </row>
    <row r="442" spans="1:5">
      <c r="A442" s="50"/>
      <c r="B442" s="50"/>
      <c r="C442" s="50"/>
      <c r="D442" s="50"/>
      <c r="E442" s="50"/>
    </row>
    <row r="443" spans="1:5">
      <c r="A443" s="50"/>
      <c r="B443" s="50"/>
      <c r="C443" s="50"/>
      <c r="D443" s="50"/>
      <c r="E443" s="50"/>
    </row>
    <row r="444" spans="1:5">
      <c r="A444" s="50"/>
      <c r="B444" s="50"/>
      <c r="C444" s="50"/>
      <c r="D444" s="50"/>
      <c r="E444" s="50"/>
    </row>
    <row r="445" spans="1:5">
      <c r="A445" s="50"/>
      <c r="B445" s="50"/>
      <c r="C445" s="50"/>
      <c r="D445" s="50"/>
      <c r="E445" s="50"/>
    </row>
    <row r="446" spans="1:5">
      <c r="A446" s="50"/>
      <c r="B446" s="50"/>
      <c r="C446" s="50"/>
      <c r="D446" s="50"/>
      <c r="E446" s="50"/>
    </row>
    <row r="447" spans="1:5">
      <c r="A447" s="50"/>
      <c r="B447" s="50"/>
      <c r="C447" s="50"/>
      <c r="D447" s="50"/>
      <c r="E447" s="50"/>
    </row>
    <row r="448" spans="1:5">
      <c r="A448" s="50"/>
      <c r="B448" s="50"/>
      <c r="C448" s="50"/>
      <c r="D448" s="50"/>
      <c r="E448" s="50"/>
    </row>
    <row r="449" spans="1:5">
      <c r="A449" s="50"/>
      <c r="B449" s="50"/>
      <c r="C449" s="50"/>
      <c r="D449" s="50"/>
      <c r="E449" s="50"/>
    </row>
    <row r="450" spans="1:5">
      <c r="A450" s="50"/>
      <c r="B450" s="50"/>
      <c r="C450" s="50"/>
      <c r="D450" s="50"/>
      <c r="E450" s="50"/>
    </row>
    <row r="451" spans="1:5">
      <c r="A451" s="50"/>
      <c r="B451" s="50"/>
      <c r="C451" s="50"/>
      <c r="D451" s="50"/>
      <c r="E451" s="50"/>
    </row>
    <row r="452" spans="1:5">
      <c r="A452" s="50"/>
      <c r="B452" s="50"/>
      <c r="C452" s="50"/>
      <c r="D452" s="50"/>
      <c r="E452" s="50"/>
    </row>
    <row r="453" spans="1:5">
      <c r="A453" s="50"/>
      <c r="B453" s="50"/>
      <c r="C453" s="50"/>
      <c r="D453" s="50"/>
      <c r="E453" s="50"/>
    </row>
    <row r="454" spans="1:5">
      <c r="A454" s="50"/>
      <c r="B454" s="50"/>
      <c r="C454" s="50"/>
      <c r="D454" s="50"/>
      <c r="E454" s="50"/>
    </row>
    <row r="455" spans="1:5">
      <c r="A455" s="50"/>
      <c r="B455" s="50"/>
      <c r="C455" s="50"/>
      <c r="D455" s="50"/>
      <c r="E455" s="50"/>
    </row>
    <row r="456" spans="1:5">
      <c r="A456" s="50"/>
      <c r="B456" s="50"/>
      <c r="C456" s="50"/>
      <c r="D456" s="50"/>
      <c r="E456" s="50"/>
    </row>
    <row r="457" spans="1:5">
      <c r="A457" s="50"/>
      <c r="B457" s="50"/>
      <c r="C457" s="50"/>
      <c r="D457" s="50"/>
      <c r="E457" s="50"/>
    </row>
    <row r="458" spans="1:5">
      <c r="A458" s="50"/>
      <c r="B458" s="50"/>
      <c r="C458" s="50"/>
      <c r="D458" s="50"/>
      <c r="E458" s="50"/>
    </row>
    <row r="459" spans="1:5">
      <c r="A459" s="50"/>
      <c r="B459" s="50"/>
      <c r="C459" s="50"/>
      <c r="D459" s="50"/>
      <c r="E459" s="50"/>
    </row>
    <row r="460" spans="1:5">
      <c r="A460" s="50"/>
      <c r="B460" s="50"/>
      <c r="C460" s="50"/>
      <c r="D460" s="50"/>
      <c r="E460" s="50"/>
    </row>
    <row r="461" spans="1:5">
      <c r="A461" s="50"/>
      <c r="B461" s="50"/>
      <c r="C461" s="50"/>
      <c r="D461" s="50"/>
      <c r="E461" s="50"/>
    </row>
    <row r="462" spans="1:5">
      <c r="A462" s="50"/>
      <c r="B462" s="50"/>
      <c r="C462" s="50"/>
      <c r="D462" s="50"/>
      <c r="E462" s="50"/>
    </row>
    <row r="463" spans="1:5">
      <c r="A463" s="50"/>
      <c r="B463" s="50"/>
      <c r="C463" s="50"/>
      <c r="D463" s="50"/>
      <c r="E463" s="50"/>
    </row>
    <row r="464" spans="1:5">
      <c r="A464" s="50"/>
      <c r="B464" s="50"/>
      <c r="C464" s="50"/>
      <c r="D464" s="50"/>
      <c r="E464" s="50"/>
    </row>
    <row r="465" spans="1:5">
      <c r="A465" s="50"/>
      <c r="B465" s="50"/>
      <c r="C465" s="50"/>
      <c r="D465" s="50"/>
      <c r="E465" s="50"/>
    </row>
    <row r="466" spans="1:5">
      <c r="A466" s="50"/>
      <c r="B466" s="50"/>
      <c r="C466" s="50"/>
      <c r="D466" s="50"/>
      <c r="E466" s="50"/>
    </row>
    <row r="467" spans="1:5">
      <c r="A467" s="50"/>
      <c r="B467" s="50"/>
      <c r="C467" s="50"/>
      <c r="D467" s="50"/>
      <c r="E467" s="50"/>
    </row>
    <row r="468" spans="1:5">
      <c r="A468" s="50"/>
      <c r="B468" s="50"/>
      <c r="C468" s="50"/>
      <c r="D468" s="50"/>
      <c r="E468" s="50"/>
    </row>
    <row r="469" spans="1:5">
      <c r="A469" s="50"/>
      <c r="B469" s="50"/>
      <c r="C469" s="50"/>
      <c r="D469" s="50"/>
      <c r="E469" s="50"/>
    </row>
    <row r="470" spans="1:5">
      <c r="A470" s="50"/>
      <c r="B470" s="50"/>
      <c r="C470" s="50"/>
      <c r="D470" s="50"/>
      <c r="E470" s="50"/>
    </row>
    <row r="471" spans="1:5">
      <c r="A471" s="50"/>
      <c r="B471" s="50"/>
      <c r="C471" s="50"/>
      <c r="D471" s="50"/>
      <c r="E471" s="50"/>
    </row>
    <row r="472" spans="1:5">
      <c r="A472" s="50"/>
      <c r="B472" s="50"/>
      <c r="C472" s="50"/>
      <c r="D472" s="50"/>
      <c r="E472" s="50"/>
    </row>
    <row r="473" spans="1:5">
      <c r="A473" s="50"/>
      <c r="B473" s="50"/>
      <c r="C473" s="50"/>
      <c r="D473" s="50"/>
      <c r="E473" s="50"/>
    </row>
    <row r="474" spans="1:5">
      <c r="A474" s="50"/>
      <c r="B474" s="50"/>
      <c r="C474" s="50"/>
      <c r="D474" s="50"/>
      <c r="E474" s="50"/>
    </row>
    <row r="475" spans="1:5">
      <c r="A475" s="50"/>
      <c r="B475" s="50"/>
      <c r="C475" s="50"/>
      <c r="D475" s="50"/>
      <c r="E475" s="50"/>
    </row>
    <row r="476" spans="1:5">
      <c r="A476" s="50"/>
      <c r="B476" s="50"/>
      <c r="C476" s="50"/>
      <c r="D476" s="50"/>
      <c r="E476" s="50"/>
    </row>
    <row r="477" spans="1:5">
      <c r="A477" s="50"/>
      <c r="B477" s="50"/>
      <c r="C477" s="50"/>
      <c r="D477" s="50"/>
      <c r="E477" s="50"/>
    </row>
    <row r="478" spans="1:5">
      <c r="A478" s="50"/>
      <c r="B478" s="50"/>
      <c r="C478" s="50"/>
      <c r="D478" s="50"/>
      <c r="E478" s="50"/>
    </row>
    <row r="479" spans="1:5">
      <c r="A479" s="50"/>
      <c r="B479" s="50"/>
      <c r="C479" s="50"/>
      <c r="D479" s="50"/>
      <c r="E479" s="50"/>
    </row>
    <row r="480" spans="1:5">
      <c r="A480" s="50"/>
      <c r="B480" s="50"/>
      <c r="C480" s="50"/>
      <c r="D480" s="50"/>
      <c r="E480" s="50"/>
    </row>
    <row r="481" spans="1:5">
      <c r="A481" s="50"/>
      <c r="B481" s="50"/>
      <c r="C481" s="50"/>
      <c r="D481" s="50"/>
      <c r="E481" s="50"/>
    </row>
    <row r="482" spans="1:5">
      <c r="A482" s="50"/>
      <c r="B482" s="50"/>
      <c r="C482" s="50"/>
      <c r="D482" s="50"/>
      <c r="E482" s="50"/>
    </row>
    <row r="483" spans="1:5">
      <c r="A483" s="50"/>
      <c r="B483" s="50"/>
      <c r="C483" s="50"/>
      <c r="D483" s="50"/>
      <c r="E483" s="50"/>
    </row>
    <row r="484" spans="1:5">
      <c r="A484" s="50"/>
      <c r="B484" s="50"/>
      <c r="C484" s="50"/>
      <c r="D484" s="50"/>
      <c r="E484" s="50"/>
    </row>
    <row r="485" spans="1:5">
      <c r="A485" s="50"/>
      <c r="B485" s="50"/>
      <c r="C485" s="50"/>
      <c r="D485" s="50"/>
      <c r="E485" s="50"/>
    </row>
    <row r="486" spans="1:5">
      <c r="A486" s="50"/>
      <c r="B486" s="50"/>
      <c r="C486" s="50"/>
      <c r="D486" s="50"/>
      <c r="E486" s="50"/>
    </row>
    <row r="487" spans="1:5">
      <c r="A487" s="50"/>
      <c r="B487" s="50"/>
      <c r="C487" s="50"/>
      <c r="D487" s="50"/>
      <c r="E487" s="50"/>
    </row>
    <row r="488" spans="1:5">
      <c r="A488" s="50"/>
      <c r="B488" s="50"/>
      <c r="C488" s="50"/>
      <c r="D488" s="50"/>
      <c r="E488" s="50"/>
    </row>
    <row r="489" spans="1:5">
      <c r="A489" s="50"/>
      <c r="B489" s="50"/>
      <c r="C489" s="50"/>
      <c r="D489" s="50"/>
      <c r="E489" s="50"/>
    </row>
    <row r="490" spans="1:5">
      <c r="A490" s="50"/>
      <c r="B490" s="50"/>
      <c r="C490" s="50"/>
      <c r="D490" s="50"/>
      <c r="E490" s="50"/>
    </row>
    <row r="491" spans="1:5">
      <c r="A491" s="50"/>
      <c r="B491" s="50"/>
      <c r="C491" s="50"/>
      <c r="D491" s="50"/>
      <c r="E491" s="50"/>
    </row>
    <row r="492" spans="1:5">
      <c r="A492" s="50"/>
      <c r="B492" s="50"/>
      <c r="C492" s="50"/>
      <c r="D492" s="50"/>
      <c r="E492" s="50"/>
    </row>
    <row r="493" spans="1:5">
      <c r="A493" s="50"/>
      <c r="B493" s="50"/>
      <c r="C493" s="50"/>
      <c r="D493" s="50"/>
      <c r="E493" s="50"/>
    </row>
    <row r="494" spans="1:5">
      <c r="A494" s="50"/>
      <c r="B494" s="50"/>
      <c r="C494" s="50"/>
      <c r="D494" s="50"/>
      <c r="E494" s="50"/>
    </row>
    <row r="495" spans="1:5">
      <c r="A495" s="50"/>
      <c r="B495" s="50"/>
      <c r="C495" s="50"/>
      <c r="D495" s="50"/>
      <c r="E495" s="50"/>
    </row>
    <row r="496" spans="1:5">
      <c r="A496" s="50"/>
      <c r="B496" s="50"/>
      <c r="C496" s="50"/>
      <c r="D496" s="50"/>
      <c r="E496" s="50"/>
    </row>
    <row r="497" spans="1:5">
      <c r="A497" s="50"/>
      <c r="B497" s="50"/>
      <c r="C497" s="50"/>
      <c r="D497" s="50"/>
      <c r="E497" s="50"/>
    </row>
    <row r="498" spans="1:5">
      <c r="A498" s="50"/>
      <c r="B498" s="50"/>
      <c r="C498" s="50"/>
      <c r="D498" s="50"/>
      <c r="E498" s="50"/>
    </row>
    <row r="499" spans="1:5">
      <c r="A499" s="50"/>
      <c r="B499" s="50"/>
      <c r="C499" s="50"/>
      <c r="D499" s="50"/>
      <c r="E499" s="50"/>
    </row>
    <row r="500" spans="1:5">
      <c r="A500" s="50"/>
      <c r="B500" s="50"/>
      <c r="C500" s="50"/>
      <c r="D500" s="50"/>
      <c r="E500" s="50"/>
    </row>
    <row r="501" spans="1:5">
      <c r="A501" s="50"/>
      <c r="B501" s="50"/>
      <c r="C501" s="50"/>
      <c r="D501" s="50"/>
      <c r="E501" s="50"/>
    </row>
    <row r="502" spans="1:5">
      <c r="A502" s="50"/>
      <c r="B502" s="50"/>
      <c r="C502" s="50"/>
      <c r="D502" s="50"/>
      <c r="E502" s="50"/>
    </row>
    <row r="503" spans="1:5">
      <c r="A503" s="50"/>
      <c r="B503" s="50"/>
      <c r="C503" s="50"/>
      <c r="D503" s="50"/>
      <c r="E503" s="50"/>
    </row>
    <row r="504" spans="1:5">
      <c r="A504" s="50"/>
      <c r="B504" s="50"/>
      <c r="C504" s="50"/>
      <c r="D504" s="50"/>
      <c r="E504" s="50"/>
    </row>
    <row r="505" spans="1:5">
      <c r="A505" s="50"/>
      <c r="B505" s="50"/>
      <c r="C505" s="50"/>
      <c r="D505" s="50"/>
      <c r="E505" s="50"/>
    </row>
    <row r="506" spans="1:5">
      <c r="A506" s="50"/>
      <c r="B506" s="50"/>
      <c r="C506" s="50"/>
      <c r="D506" s="50"/>
      <c r="E506" s="50"/>
    </row>
    <row r="507" spans="1:5">
      <c r="A507" s="50"/>
      <c r="B507" s="50"/>
      <c r="C507" s="50"/>
      <c r="D507" s="50"/>
      <c r="E507" s="50"/>
    </row>
    <row r="508" spans="1:5">
      <c r="A508" s="50"/>
      <c r="B508" s="50"/>
      <c r="C508" s="50"/>
      <c r="D508" s="50"/>
      <c r="E508" s="50"/>
    </row>
    <row r="509" spans="1:5">
      <c r="A509" s="50"/>
      <c r="B509" s="50"/>
      <c r="C509" s="50"/>
      <c r="D509" s="50"/>
      <c r="E509" s="50"/>
    </row>
    <row r="510" spans="1:5">
      <c r="A510" s="50"/>
      <c r="B510" s="50"/>
      <c r="C510" s="50"/>
      <c r="D510" s="50"/>
      <c r="E510" s="50"/>
    </row>
    <row r="511" spans="1:5">
      <c r="A511" s="50"/>
      <c r="B511" s="50"/>
      <c r="C511" s="50"/>
      <c r="D511" s="50"/>
      <c r="E511" s="50"/>
    </row>
    <row r="512" spans="1:5">
      <c r="A512" s="50"/>
      <c r="B512" s="50"/>
      <c r="C512" s="50"/>
      <c r="D512" s="50"/>
      <c r="E512" s="50"/>
    </row>
    <row r="513" spans="1:5">
      <c r="A513" s="50"/>
      <c r="B513" s="50"/>
      <c r="C513" s="50"/>
      <c r="D513" s="50"/>
      <c r="E513" s="50"/>
    </row>
    <row r="514" spans="1:5">
      <c r="A514" s="50"/>
      <c r="B514" s="50"/>
      <c r="C514" s="50"/>
      <c r="D514" s="50"/>
      <c r="E514" s="50"/>
    </row>
    <row r="515" spans="1:5">
      <c r="A515" s="50"/>
      <c r="B515" s="50"/>
      <c r="C515" s="50"/>
      <c r="D515" s="50"/>
      <c r="E515" s="50"/>
    </row>
    <row r="516" spans="1:5">
      <c r="A516" s="50"/>
      <c r="B516" s="50"/>
      <c r="C516" s="50"/>
      <c r="D516" s="50"/>
      <c r="E516" s="50"/>
    </row>
    <row r="517" spans="1:5">
      <c r="A517" s="50"/>
      <c r="B517" s="50"/>
      <c r="C517" s="50"/>
      <c r="D517" s="50"/>
      <c r="E517" s="50"/>
    </row>
    <row r="518" spans="1:5">
      <c r="A518" s="50"/>
      <c r="B518" s="50"/>
      <c r="C518" s="50"/>
      <c r="D518" s="50"/>
      <c r="E518" s="50"/>
    </row>
    <row r="519" spans="1:5">
      <c r="A519" s="50"/>
      <c r="B519" s="50"/>
      <c r="C519" s="50"/>
      <c r="D519" s="50"/>
      <c r="E519" s="50"/>
    </row>
    <row r="520" spans="1:5">
      <c r="A520" s="50"/>
      <c r="B520" s="50"/>
      <c r="C520" s="50"/>
      <c r="D520" s="50"/>
      <c r="E520" s="50"/>
    </row>
    <row r="521" spans="1:5">
      <c r="A521" s="50"/>
      <c r="B521" s="50"/>
      <c r="C521" s="50"/>
      <c r="D521" s="50"/>
      <c r="E521" s="50"/>
    </row>
    <row r="522" spans="1:5">
      <c r="A522" s="50"/>
      <c r="B522" s="50"/>
      <c r="C522" s="50"/>
      <c r="D522" s="50"/>
      <c r="E522" s="50"/>
    </row>
    <row r="523" spans="1:5">
      <c r="A523" s="50"/>
      <c r="B523" s="50"/>
      <c r="C523" s="50"/>
      <c r="D523" s="50"/>
      <c r="E523" s="50"/>
    </row>
    <row r="524" spans="1:5">
      <c r="A524" s="50"/>
      <c r="B524" s="50"/>
      <c r="C524" s="50"/>
      <c r="D524" s="50"/>
      <c r="E524" s="50"/>
    </row>
    <row r="525" spans="1:5">
      <c r="A525" s="50"/>
      <c r="B525" s="50"/>
      <c r="C525" s="50"/>
      <c r="D525" s="50"/>
      <c r="E525" s="50"/>
    </row>
    <row r="526" spans="1:5">
      <c r="A526" s="50"/>
      <c r="B526" s="50"/>
      <c r="C526" s="50"/>
      <c r="D526" s="50"/>
      <c r="E526" s="50"/>
    </row>
    <row r="527" spans="1:5">
      <c r="A527" s="50"/>
      <c r="B527" s="50"/>
      <c r="C527" s="50"/>
      <c r="D527" s="50"/>
      <c r="E527" s="50"/>
    </row>
    <row r="528" spans="1:5">
      <c r="A528" s="50"/>
      <c r="B528" s="50"/>
      <c r="C528" s="50"/>
      <c r="D528" s="50"/>
      <c r="E528" s="50"/>
    </row>
    <row r="529" spans="1:5">
      <c r="A529" s="50"/>
      <c r="B529" s="50"/>
      <c r="C529" s="50"/>
      <c r="D529" s="50"/>
      <c r="E529" s="50"/>
    </row>
    <row r="530" spans="1:5">
      <c r="A530" s="50"/>
      <c r="B530" s="50"/>
      <c r="C530" s="50"/>
      <c r="D530" s="50"/>
      <c r="E530" s="50"/>
    </row>
    <row r="531" spans="1:5">
      <c r="A531" s="50"/>
      <c r="B531" s="50"/>
      <c r="C531" s="50"/>
      <c r="D531" s="50"/>
      <c r="E531" s="50"/>
    </row>
    <row r="532" spans="1:5">
      <c r="A532" s="50"/>
      <c r="B532" s="50"/>
      <c r="C532" s="50"/>
      <c r="D532" s="50"/>
      <c r="E532" s="50"/>
    </row>
    <row r="533" spans="1:5">
      <c r="A533" s="50"/>
      <c r="B533" s="50"/>
      <c r="C533" s="50"/>
      <c r="D533" s="50"/>
      <c r="E533" s="50"/>
    </row>
    <row r="534" spans="1:5">
      <c r="A534" s="50"/>
      <c r="B534" s="50"/>
      <c r="C534" s="50"/>
      <c r="D534" s="50"/>
      <c r="E534" s="50"/>
    </row>
    <row r="535" spans="1:5">
      <c r="A535" s="50"/>
      <c r="B535" s="50"/>
      <c r="C535" s="50"/>
      <c r="D535" s="50"/>
      <c r="E535" s="50"/>
    </row>
    <row r="536" spans="1:5">
      <c r="A536" s="50"/>
      <c r="B536" s="50"/>
      <c r="C536" s="50"/>
      <c r="D536" s="50"/>
      <c r="E536" s="50"/>
    </row>
    <row r="537" spans="1:5">
      <c r="A537" s="50"/>
      <c r="B537" s="50"/>
      <c r="C537" s="50"/>
      <c r="D537" s="50"/>
      <c r="E537" s="50"/>
    </row>
  </sheetData>
  <mergeCells count="1">
    <mergeCell ref="A301:C301"/>
  </mergeCells>
  <hyperlinks>
    <hyperlink ref="B170" r:id="rId1" display="https://nucore.northwestern.edu/facilities" xr:uid="{00000000-0004-0000-1000-000000000000}"/>
    <hyperlink ref="B171" r:id="rId2" display="https://nucore.northwestern.edu/facilities" xr:uid="{00000000-0004-0000-1000-000001000000}"/>
    <hyperlink ref="B172" r:id="rId3" display="https://nucore.northwestern.edu/facilities" xr:uid="{00000000-0004-0000-1000-000002000000}"/>
  </hyperlinks>
  <pageMargins left="0.75" right="0.75" top="1" bottom="1" header="0.5" footer="0.5"/>
  <pageSetup scale="66" fitToHeight="0" orientation="portrait" r:id="rId4"/>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B42"/>
  <sheetViews>
    <sheetView workbookViewId="0">
      <pane ySplit="1" topLeftCell="A2" activePane="bottomLeft" state="frozen"/>
      <selection pane="bottomLeft" activeCell="A43" sqref="A43"/>
    </sheetView>
  </sheetViews>
  <sheetFormatPr defaultRowHeight="12.75"/>
  <cols>
    <col min="1" max="1" width="11.140625" style="538" customWidth="1"/>
    <col min="2" max="2" width="198.140625" bestFit="1" customWidth="1"/>
  </cols>
  <sheetData>
    <row r="1" spans="1:2">
      <c r="A1" s="538" t="s">
        <v>822</v>
      </c>
      <c r="B1" t="s">
        <v>823</v>
      </c>
    </row>
    <row r="2" spans="1:2">
      <c r="A2" s="538">
        <v>41706</v>
      </c>
      <c r="B2" t="s">
        <v>824</v>
      </c>
    </row>
    <row r="3" spans="1:2">
      <c r="A3" s="538">
        <v>41702</v>
      </c>
      <c r="B3" t="s">
        <v>864</v>
      </c>
    </row>
    <row r="4" spans="1:2">
      <c r="A4" s="538">
        <v>41758</v>
      </c>
      <c r="B4" t="s">
        <v>858</v>
      </c>
    </row>
    <row r="5" spans="1:2">
      <c r="A5" s="538">
        <v>41759</v>
      </c>
      <c r="B5" t="s">
        <v>868</v>
      </c>
    </row>
    <row r="6" spans="1:2">
      <c r="A6" s="538">
        <v>41767</v>
      </c>
      <c r="B6" t="s">
        <v>870</v>
      </c>
    </row>
    <row r="7" spans="1:2">
      <c r="A7" s="538">
        <v>41772</v>
      </c>
      <c r="B7" t="s">
        <v>872</v>
      </c>
    </row>
    <row r="8" spans="1:2">
      <c r="A8" s="538">
        <v>41850</v>
      </c>
      <c r="B8" t="s">
        <v>873</v>
      </c>
    </row>
    <row r="9" spans="1:2">
      <c r="A9" s="538">
        <v>41895</v>
      </c>
      <c r="B9" t="s">
        <v>874</v>
      </c>
    </row>
    <row r="10" spans="1:2">
      <c r="A10" s="538">
        <v>41915</v>
      </c>
      <c r="B10" t="s">
        <v>875</v>
      </c>
    </row>
    <row r="11" spans="1:2">
      <c r="A11" s="538">
        <v>42007</v>
      </c>
      <c r="B11" t="s">
        <v>877</v>
      </c>
    </row>
    <row r="12" spans="1:2">
      <c r="A12" s="538">
        <v>42007</v>
      </c>
      <c r="B12" t="s">
        <v>940</v>
      </c>
    </row>
    <row r="13" spans="1:2">
      <c r="A13" s="538">
        <v>42007</v>
      </c>
      <c r="B13" t="s">
        <v>888</v>
      </c>
    </row>
    <row r="14" spans="1:2">
      <c r="A14" s="538">
        <v>42025</v>
      </c>
      <c r="B14" t="s">
        <v>916</v>
      </c>
    </row>
    <row r="15" spans="1:2">
      <c r="A15" s="538">
        <v>42074</v>
      </c>
      <c r="B15" t="s">
        <v>915</v>
      </c>
    </row>
    <row r="16" spans="1:2">
      <c r="A16" s="538">
        <v>42111</v>
      </c>
      <c r="B16" t="s">
        <v>899</v>
      </c>
    </row>
    <row r="17" spans="1:2">
      <c r="A17" s="538">
        <v>42196</v>
      </c>
      <c r="B17" t="s">
        <v>904</v>
      </c>
    </row>
    <row r="18" spans="1:2">
      <c r="A18" s="538">
        <v>42266</v>
      </c>
      <c r="B18" t="s">
        <v>905</v>
      </c>
    </row>
    <row r="19" spans="1:2">
      <c r="A19" s="538">
        <v>42276</v>
      </c>
      <c r="B19" t="s">
        <v>906</v>
      </c>
    </row>
    <row r="20" spans="1:2">
      <c r="A20" s="538">
        <v>42286</v>
      </c>
      <c r="B20" t="s">
        <v>907</v>
      </c>
    </row>
    <row r="21" spans="1:2">
      <c r="A21" s="538">
        <v>42294</v>
      </c>
      <c r="B21" t="s">
        <v>908</v>
      </c>
    </row>
    <row r="22" spans="1:2">
      <c r="A22" s="538">
        <v>42299</v>
      </c>
      <c r="B22" t="s">
        <v>909</v>
      </c>
    </row>
    <row r="23" spans="1:2">
      <c r="A23" s="538">
        <v>42315</v>
      </c>
      <c r="B23" t="s">
        <v>911</v>
      </c>
    </row>
    <row r="24" spans="1:2">
      <c r="A24" s="538">
        <v>42328</v>
      </c>
      <c r="B24" t="s">
        <v>912</v>
      </c>
    </row>
    <row r="25" spans="1:2">
      <c r="A25" s="538">
        <v>42340</v>
      </c>
      <c r="B25" t="s">
        <v>913</v>
      </c>
    </row>
    <row r="26" spans="1:2">
      <c r="A26" s="538">
        <v>42371</v>
      </c>
      <c r="B26" t="s">
        <v>914</v>
      </c>
    </row>
    <row r="27" spans="1:2">
      <c r="A27" s="538">
        <v>42404</v>
      </c>
      <c r="B27" t="s">
        <v>919</v>
      </c>
    </row>
    <row r="28" spans="1:2">
      <c r="A28" s="538">
        <v>42585</v>
      </c>
      <c r="B28" t="s">
        <v>925</v>
      </c>
    </row>
    <row r="29" spans="1:2">
      <c r="A29" s="538">
        <v>42720</v>
      </c>
      <c r="B29" t="s">
        <v>926</v>
      </c>
    </row>
    <row r="30" spans="1:2">
      <c r="A30" s="538">
        <v>42738</v>
      </c>
      <c r="B30" t="s">
        <v>927</v>
      </c>
    </row>
    <row r="31" spans="1:2">
      <c r="A31" s="538">
        <v>42747</v>
      </c>
      <c r="B31" t="s">
        <v>928</v>
      </c>
    </row>
    <row r="32" spans="1:2">
      <c r="A32" s="538">
        <v>42991</v>
      </c>
      <c r="B32" t="s">
        <v>932</v>
      </c>
    </row>
    <row r="33" spans="1:2">
      <c r="A33" s="538">
        <v>42998</v>
      </c>
      <c r="B33" t="s">
        <v>933</v>
      </c>
    </row>
    <row r="34" spans="1:2">
      <c r="A34" s="538">
        <v>43076</v>
      </c>
      <c r="B34" t="s">
        <v>937</v>
      </c>
    </row>
    <row r="35" spans="1:2">
      <c r="A35" s="538">
        <v>43103</v>
      </c>
      <c r="B35" t="s">
        <v>936</v>
      </c>
    </row>
    <row r="36" spans="1:2">
      <c r="A36" s="538">
        <v>43118</v>
      </c>
      <c r="B36" t="s">
        <v>938</v>
      </c>
    </row>
    <row r="37" spans="1:2">
      <c r="A37" s="538">
        <v>43141</v>
      </c>
      <c r="B37" t="s">
        <v>939</v>
      </c>
    </row>
    <row r="38" spans="1:2">
      <c r="A38" s="538">
        <v>43224</v>
      </c>
      <c r="B38" t="s">
        <v>941</v>
      </c>
    </row>
    <row r="39" spans="1:2">
      <c r="A39" s="538">
        <v>43349</v>
      </c>
      <c r="B39" t="s">
        <v>944</v>
      </c>
    </row>
    <row r="40" spans="1:2">
      <c r="A40" s="538">
        <v>43355</v>
      </c>
      <c r="B40" t="s">
        <v>945</v>
      </c>
    </row>
    <row r="41" spans="1:2">
      <c r="A41" s="538">
        <v>43391</v>
      </c>
      <c r="B41" t="s">
        <v>949</v>
      </c>
    </row>
    <row r="42" spans="1:2">
      <c r="A42" s="538">
        <v>43410</v>
      </c>
      <c r="B42" t="s">
        <v>954</v>
      </c>
    </row>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75BADFD8CF55549BCD5C24D5077EAC8" ma:contentTypeVersion="13" ma:contentTypeDescription="Create a new document." ma:contentTypeScope="" ma:versionID="8a847aaa267127e920e29be0edbf0cb1">
  <xsd:schema xmlns:xsd="http://www.w3.org/2001/XMLSchema" xmlns:xs="http://www.w3.org/2001/XMLSchema" xmlns:p="http://schemas.microsoft.com/office/2006/metadata/properties" xmlns:ns3="87ecda01-2ed8-486a-82e3-64d0c07e19e9" xmlns:ns4="98885606-5e59-4859-a898-3d9b717591f4" targetNamespace="http://schemas.microsoft.com/office/2006/metadata/properties" ma:root="true" ma:fieldsID="a611bcea934ac93179ba7e45ca9f0dea" ns3:_="" ns4:_="">
    <xsd:import namespace="87ecda01-2ed8-486a-82e3-64d0c07e19e9"/>
    <xsd:import namespace="98885606-5e59-4859-a898-3d9b717591f4"/>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AutoKeyPoints" minOccurs="0"/>
                <xsd:element ref="ns4:MediaServiceKeyPoints" minOccurs="0"/>
                <xsd:element ref="ns4:MediaServiceDateTaken" minOccurs="0"/>
                <xsd:element ref="ns4:MediaServiceAutoTags" minOccurs="0"/>
                <xsd:element ref="ns4:MediaLengthInSeconds" minOccurs="0"/>
                <xsd:element ref="ns4:MediaServiceOCR" minOccurs="0"/>
                <xsd:element ref="ns4:MediaServiceGenerationTime" minOccurs="0"/>
                <xsd:element ref="ns4: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7ecda01-2ed8-486a-82e3-64d0c07e19e9"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SharingHintHash" ma:index="10" nillable="true" ma:displayName="Sharing Hint Hash"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8885606-5e59-4859-a898-3d9b717591f4"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DateTaken" ma:index="15" nillable="true" ma:displayName="MediaServiceDateTaken" ma:hidden="true" ma:internalName="MediaServiceDateTaken" ma:readOnly="true">
      <xsd:simpleType>
        <xsd:restriction base="dms:Text"/>
      </xsd:simpleType>
    </xsd:element>
    <xsd:element name="MediaServiceAutoTags" ma:index="16" nillable="true" ma:displayName="Tags" ma:internalName="MediaServiceAutoTags"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10D939B4-E7C1-4009-B8A3-E2AD13577F4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7ecda01-2ed8-486a-82e3-64d0c07e19e9"/>
    <ds:schemaRef ds:uri="98885606-5e59-4859-a898-3d9b717591f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0D7200C-53D3-4414-8B14-C43CA9FD3E27}">
  <ds:schemaRefs>
    <ds:schemaRef ds:uri="http://schemas.microsoft.com/sharepoint/v3/contenttype/forms"/>
  </ds:schemaRefs>
</ds:datastoreItem>
</file>

<file path=customXml/itemProps3.xml><?xml version="1.0" encoding="utf-8"?>
<ds:datastoreItem xmlns:ds="http://schemas.openxmlformats.org/officeDocument/2006/customXml" ds:itemID="{41C91F9B-3E2E-45E2-A72C-A1672F03BD27}">
  <ds:schemaRefs>
    <ds:schemaRef ds:uri="http://schemas.openxmlformats.org/package/2006/metadata/core-properties"/>
    <ds:schemaRef ds:uri="http://schemas.microsoft.com/office/2006/metadata/properties"/>
    <ds:schemaRef ds:uri="http://schemas.microsoft.com/office/2006/documentManagement/types"/>
    <ds:schemaRef ds:uri="http://www.w3.org/XML/1998/namespace"/>
    <ds:schemaRef ds:uri="http://purl.org/dc/dcmitype/"/>
    <ds:schemaRef ds:uri="http://purl.org/dc/terms/"/>
    <ds:schemaRef ds:uri="http://purl.org/dc/elements/1.1/"/>
    <ds:schemaRef ds:uri="http://schemas.microsoft.com/office/infopath/2007/PartnerControls"/>
    <ds:schemaRef ds:uri="98885606-5e59-4859-a898-3d9b717591f4"/>
    <ds:schemaRef ds:uri="87ecda01-2ed8-486a-82e3-64d0c07e19e9"/>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19</vt:i4>
      </vt:variant>
      <vt:variant>
        <vt:lpstr>Named Ranges</vt:lpstr>
      </vt:variant>
      <vt:variant>
        <vt:i4>27</vt:i4>
      </vt:variant>
    </vt:vector>
  </HeadingPairs>
  <TitlesOfParts>
    <vt:vector size="46" baseType="lpstr">
      <vt:lpstr>Summary of All Budget Periods</vt:lpstr>
      <vt:lpstr>Cost Share Summary</vt:lpstr>
      <vt:lpstr>BP1</vt:lpstr>
      <vt:lpstr>BP2</vt:lpstr>
      <vt:lpstr>BP3</vt:lpstr>
      <vt:lpstr>BP4</vt:lpstr>
      <vt:lpstr>BP5</vt:lpstr>
      <vt:lpstr>Cumulative Budget</vt:lpstr>
      <vt:lpstr>Effort Summary</vt:lpstr>
      <vt:lpstr>Budget Justification</vt:lpstr>
      <vt:lpstr>Subaward Calculator</vt:lpstr>
      <vt:lpstr>Travel Calculator</vt:lpstr>
      <vt:lpstr>Questionnaire - WIP</vt:lpstr>
      <vt:lpstr>Lists</vt:lpstr>
      <vt:lpstr>Appendix A-Boilerplate Language</vt:lpstr>
      <vt:lpstr>Appendix B-Effort Calculator</vt:lpstr>
      <vt:lpstr>Appendix C-Grants.gov Form Info</vt:lpstr>
      <vt:lpstr>Appendix D-Rate Tables</vt:lpstr>
      <vt:lpstr>Appendix E-Change Log</vt:lpstr>
      <vt:lpstr>EndDateList</vt:lpstr>
      <vt:lpstr>Federal</vt:lpstr>
      <vt:lpstr>FederalDoDContract</vt:lpstr>
      <vt:lpstr>FederalOffCampus</vt:lpstr>
      <vt:lpstr>FederalOnCampus</vt:lpstr>
      <vt:lpstr>NIH</vt:lpstr>
      <vt:lpstr>NIHSalCap</vt:lpstr>
      <vt:lpstr>NonFederal</vt:lpstr>
      <vt:lpstr>NonFederalOffCampus</vt:lpstr>
      <vt:lpstr>NonFederalOnCampus</vt:lpstr>
      <vt:lpstr>'Appendix A-Boilerplate Language'!Print_Area</vt:lpstr>
      <vt:lpstr>'Appendix B-Effort Calculator'!Print_Area</vt:lpstr>
      <vt:lpstr>'Appendix C-Grants.gov Form Info'!Print_Area</vt:lpstr>
      <vt:lpstr>'Appendix D-Rate Tables'!Print_Area</vt:lpstr>
      <vt:lpstr>'BP1'!Print_Area</vt:lpstr>
      <vt:lpstr>'BP2'!Print_Area</vt:lpstr>
      <vt:lpstr>'BP3'!Print_Area</vt:lpstr>
      <vt:lpstr>'BP4'!Print_Area</vt:lpstr>
      <vt:lpstr>'BP5'!Print_Area</vt:lpstr>
      <vt:lpstr>'Budget Justification'!Print_Area</vt:lpstr>
      <vt:lpstr>'Cost Share Summary'!Print_Area</vt:lpstr>
      <vt:lpstr>'Cumulative Budget'!Print_Area</vt:lpstr>
      <vt:lpstr>Lists!Print_Area</vt:lpstr>
      <vt:lpstr>'Subaward Calculator'!Print_Area</vt:lpstr>
      <vt:lpstr>'Summary of All Budget Periods'!Print_Area</vt:lpstr>
      <vt:lpstr>'Travel Calculator'!Print_Area</vt:lpstr>
      <vt:lpstr>StartDateList</vt:lpstr>
    </vt:vector>
  </TitlesOfParts>
  <Manager>Cathy Barrera</Manager>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McCormick Budget Template</dc:title>
  <dc:subject>Budget Template</dc:subject>
  <dc:creator>Andrew Mark</dc:creator>
  <cp:lastModifiedBy>Andrew Mark</cp:lastModifiedBy>
  <cp:lastPrinted>2022-05-05T16:31:26Z</cp:lastPrinted>
  <dcterms:created xsi:type="dcterms:W3CDTF">2002-02-08T17:05:31Z</dcterms:created>
  <dcterms:modified xsi:type="dcterms:W3CDTF">2022-11-07T18:13:00Z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0x010100575BADFD8CF55549BCD5C24D5077EAC8</vt:lpwstr>
  </property>
</Properties>
</file>